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2"/>
  <c r="G25"/>
  <c r="G20"/>
  <c r="M9" l="1"/>
  <c r="L5" l="1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12" i="24"/>
  <c r="B12" i="23"/>
  <c r="I23" i="19" l="1"/>
  <c r="H70"/>
  <c r="I23" i="11"/>
  <c r="H70"/>
  <c r="H68" i="10"/>
  <c r="I19"/>
  <c r="J70"/>
  <c r="K23"/>
  <c r="B12" i="2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O70" l="1"/>
  <c r="N70" i="19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I74" l="1"/>
  <c r="O50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B5" i="22" l="1"/>
  <c r="B6" s="1"/>
  <c r="B5" i="24"/>
  <c r="B6" s="1"/>
  <c r="I72" i="10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B5" i="23" l="1"/>
  <c r="B6" s="1"/>
  <c r="L72" i="10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12/31/11 WA kWh
low income 1940414
nonres 34450246
res 6714839
CFL res 141120
2nd refrig res 914793
simple steps res 7786722
CFL mailed 27788160
Home Energy Audits 87066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12/31/11 WA therm
low income 77381
nonres 826095
res 580686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12/31/11 ID kWh
low income 864579
nonres 14750568
res 3293910
CFL res 58016
2nd refrig res 339174
simple steps res 3337166
CFL mailed 15709512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12/31/11 ID therm
low income 31675
nonres 149600
res 221288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12/31/11
res 439793+553920
LI 744330+818349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<sst xmlns="http://schemas.openxmlformats.org/spreadsheetml/2006/main" count="788" uniqueCount="202">
  <si>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</si>
  <si>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</si>
  <si>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</si>
  <si>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</si>
  <si>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</si>
  <si>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</si>
  <si>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</si>
  <si>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</si>
  <si>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</si>
  <si>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</si>
  <si>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</si>
  <si>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</si>
  <si>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</si>
  <si>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</si>
  <si>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</si>
  <si>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</si>
  <si>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</si>
  <si>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</si>
  <si>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</si>
  <si>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</si>
  <si>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</si>
  <si>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</si>
  <si>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</si>
  <si>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</si>
  <si>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</si>
  <si>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</si>
  <si>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</si>
  <si>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</si>
  <si>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</si>
  <si>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</si>
  <si>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</si>
  <si>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</si>
  <si>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</si>
  <si>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</si>
  <si>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</si>
  <si>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</si>
  <si>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</si>
  <si>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</si>
  <si>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</si>
  <si>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</si>
  <si>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</si>
  <si>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</si>
  <si>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</si>
  <si>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</si>
  <si>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</si>
  <si>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</si>
  <si>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</si>
  <si>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</si>
  <si>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</si>
  <si>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</si>
  <si>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</si>
  <si>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</si>
  <si>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</si>
  <si>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</si>
  <si>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</si>
  <si>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</si>
  <si>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</si>
  <si>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</si>
  <si>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</si>
  <si>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</si>
  <si>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</si>
  <si>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</si>
  <si>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</si>
  <si>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</si>
  <si>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</si>
  <si>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</si>
  <si>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</si>
  <si>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</si>
  <si>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</si>
  <si>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</si>
  <si>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</si>
  <si>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</si>
  <si>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</si>
  <si>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</si>
  <si>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</si>
  <si>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</si>
  <si>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</si>
  <si>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</si>
  <si>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</si>
  <si>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</si>
  <si>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</si>
  <si>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</si>
  <si>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</si>
  <si>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</si>
  <si>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</si>
  <si>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</si>
  <si>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</si>
  <si>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</si>
  <si>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</si>
  <si>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</si>
  <si>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</si>
  <si>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</si>
  <si>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</si>
  <si>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</si>
  <si>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</si>
  <si>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</si>
  <si>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</si>
  <si>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</si>
  <si>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</si>
  <si>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</si>
  <si>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</si>
  <si>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</si>
  <si>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</si>
  <si>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</si>
  <si>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</si>
  <si>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</si>
  <si>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</si>
  <si>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</si>
  <si>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</si>
  <si>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</si>
  <si>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</si>
  <si>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</si>
  <si>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</si>
  <si>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</si>
  <si>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</si>
  <si>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</si>
  <si>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</si>
  <si>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</si>
  <si>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</si>
  <si>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</si>
  <si>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</si>
  <si>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</si>
  <si>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</si>
  <si>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</si>
  <si>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</si>
  <si>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</si>
  <si>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</si>
  <si>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</si>
  <si>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</si>
  <si>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</si>
  <si>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</si>
  <si>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</si>
  <si>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</si>
  <si>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</si>
  <si>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</si>
  <si>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</si>
  <si>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</si>
  <si>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</si>
  <si>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</si>
  <si>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</si>
  <si>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</si>
  <si>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</si>
  <si>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</si>
  <si>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</si>
  <si>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</si>
  <si>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</si>
  <si>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</si>
  <si>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</si>
  <si>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</si>
  <si>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</si>
  <si>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</si>
  <si>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</si>
  <si>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</si>
  <si>
    <t xml:space="preserve">  </t>
  </si>
  <si>
    <t>Jul - $379k favorable variance due to less rebates than budgeted</t>
  </si>
  <si>
    <t>Jul - $112k favorable variance due to less rebates than budgeted</t>
  </si>
  <si>
    <t>Jul - $13k unfavorable variance due to more implementaton costs than budgeted</t>
  </si>
  <si>
    <t>Jul - $48k favorable variance due to less rebates than budgeted</t>
  </si>
  <si>
    <t>Jul - Revenue lower and expenses were significantly lower than budgeted.</t>
  </si>
  <si>
    <t>Jul - Revenue was slightly higher and expenses were significantly lower than budgeted.</t>
  </si>
  <si>
    <t>Jul - Revenue was lower (including $7k interest) and expenses were lower than budgeted.</t>
  </si>
  <si>
    <t>Jul - Revenue was slightly higher but implementation costs were significantly lower than budgeted.</t>
  </si>
  <si>
    <t>Aug - $383k unfavorable variance due to more implementation costs than budgeted</t>
  </si>
  <si>
    <t>Aug - $187k favorable variance due to less rebates than budgeted</t>
  </si>
  <si>
    <t>Aug - $180k unfavorable variance due to more implementaton costs than budgeted</t>
  </si>
  <si>
    <t>Aug - $64k favorable variance due to less rebates than budgeted</t>
  </si>
  <si>
    <t>Aug - Revenue lower and implementation expenses were higher than budgeted.</t>
  </si>
  <si>
    <t>Aug - Revenue was lower (including $8k interest) and implementation expenses were higher than budgeted.</t>
  </si>
  <si>
    <t>Aug - Revenue was slightly higher but implementation costs were also higher than budgeted.</t>
  </si>
  <si>
    <t>Aug - Revenue was lower and expenses were significantly lower than budgeted.</t>
  </si>
  <si>
    <t>Sep - $15k favorable variance due to less rebates than budgeted</t>
  </si>
  <si>
    <t>Sep - $778k unfavorable variance primarily due to more implementaton costs than budgeted</t>
  </si>
  <si>
    <t>Sep - $5k unfavorable variance due to implementation costs higher than budgeted</t>
  </si>
  <si>
    <t>Sep - $1,450k unfavorable variance due to rebates and implementation costs significantly higher than budgeted</t>
  </si>
  <si>
    <t>Sep - Revenue slighly higher but implementation expenses were significantly higher (including CFL mailing costs) than budgeted.</t>
  </si>
  <si>
    <t>Sep - Revenue was lower and implementation expenses were higher than budgeted.</t>
  </si>
  <si>
    <t>Sep - Revenue was higher (including $8k interest) but implementation expenses were significantly higher (including CFL mailing costs) than budgeted.</t>
  </si>
  <si>
    <t>Sep - Revenue was slightly higher but implementation costs were significantly higher this month.</t>
  </si>
  <si>
    <t>Oct - $64k favorable variance due to less rebates than budgeted</t>
  </si>
  <si>
    <t>Oct - Revenue was lower than implementation costs this month.</t>
  </si>
  <si>
    <t>Oct - $640k unfavorable variance split about half to each more rebate and more implementaton costs than budgeted</t>
  </si>
  <si>
    <t>Oct - Revenue was lower (including $9k interest) and implementation expenses were significantly higher (including CFL mailing costs) than budgeted.</t>
  </si>
  <si>
    <t>Oct - $136k favorable variance due to less rebates than budgeted</t>
  </si>
  <si>
    <t>Oct - Revenue was significantly lower than budgeted.</t>
  </si>
  <si>
    <t>Oct - $1,030k unfavorable variance due to rebates and implementation costs significantly higher than budgeted</t>
  </si>
  <si>
    <t>Oct - Implementation expenses were significantly higher (including CFL mailing costs) than budgeted.</t>
  </si>
  <si>
    <t>Nov - $142k unfavorable variance due to more rebates than budgeted</t>
  </si>
  <si>
    <t>Nov - $170k unfavorable variance due to more rebate and more implementaton costs than budgeted, especially for the CFL mail out program</t>
  </si>
  <si>
    <t>Nov - Implementation expenses were higher (including CFL mailing costs) and revenue lower than budgeted.</t>
  </si>
  <si>
    <t>Nov - Revenue was lower and implementation expenses were higher than budgeted.</t>
  </si>
  <si>
    <t>Nov - Revenue was lower (including $6k interest) and implementation expenses were higher (including CFL mailing costs) than budgeted.</t>
  </si>
  <si>
    <t>Nov - Revenue was significantly lower and implementation costs higher than budgeted this month.</t>
  </si>
  <si>
    <t>Dec - Implementation expenses were higher than budgeted.</t>
  </si>
  <si>
    <t>Dec - $403k unfavorable variance due primarily to rebate costs significantly higher than budgeted</t>
  </si>
  <si>
    <t>Nov - $255k unfavorable variance due to rebate and costs significantly higher than budgeted</t>
  </si>
  <si>
    <t>Dec - Revenue was lower and implementation expenses were significantly higher than budgeted.</t>
  </si>
  <si>
    <t>Dec - $741k unfavorable variance due to significantly more rebates than budgeted</t>
  </si>
  <si>
    <t>Dec - Revenue was higher than implementation expenses bringing the balance down closer to zero.</t>
  </si>
  <si>
    <t>Dec - $79k unfavorable variance due to primarily more implementaton costs than budgeted</t>
  </si>
  <si>
    <t>Dec - Revenue was lower and implementation costs higher than budgeted this month.</t>
  </si>
  <si>
    <t>Nov - $12k unfavorable variance due to more implementation costs than budgeted</t>
  </si>
  <si>
    <t>Dec - $45k unfavorable variance due to more implementation costs than budgeted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</si>
</sst>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2" sqref="A2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38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38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5812546</v>
      </c>
      <c r="I5" s="1">
        <v>7880447</v>
      </c>
      <c r="J5" s="1">
        <v>21364994</v>
      </c>
      <c r="K5" s="1">
        <v>20295977</v>
      </c>
      <c r="L5" s="1">
        <f>12019614</f>
        <v>12019614</v>
      </c>
      <c r="M5" s="1">
        <v>12876405</v>
      </c>
      <c r="N5" s="1">
        <v>8768155</v>
      </c>
      <c r="O5" s="3">
        <f>SUM(C5:N5)</f>
        <v>118176285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38" t="s">
        <v>45</v>
      </c>
      <c r="C6" s="26">
        <f>(C5-C4)/C4</f>
        <v>0.17194808738937545</v>
      </c>
      <c r="D6" s="26">
        <f t="shared" ref="D6:O6" si="2">(D5-D4)/D4</f>
        <v>-0.28809439058048286</v>
      </c>
      <c r="E6" s="26">
        <f t="shared" si="2"/>
        <v>-0.45996704726262572</v>
      </c>
      <c r="F6" s="26">
        <f t="shared" si="2"/>
        <v>-0.17443875131857511</v>
      </c>
      <c r="G6" s="26">
        <f t="shared" si="2"/>
        <v>-0.15623515045688691</v>
      </c>
      <c r="H6" s="26">
        <f t="shared" si="2"/>
        <v>-0.18403637294906974</v>
      </c>
      <c r="I6" s="26">
        <f t="shared" si="2"/>
        <v>0.10625500716942664</v>
      </c>
      <c r="J6" s="26">
        <f t="shared" si="2"/>
        <v>1.9992120485861724</v>
      </c>
      <c r="K6" s="26">
        <f t="shared" si="2"/>
        <v>1.8491437327914924</v>
      </c>
      <c r="L6" s="26">
        <f t="shared" si="2"/>
        <v>0.68731014519147715</v>
      </c>
      <c r="M6" s="26">
        <f t="shared" si="2"/>
        <v>0.80758623281032671</v>
      </c>
      <c r="N6" s="26">
        <f t="shared" si="2"/>
        <v>0.23087121484195552</v>
      </c>
      <c r="O6" s="26">
        <f t="shared" si="2"/>
        <v>0.38246289635104891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38"/>
    </row>
    <row r="8" spans="2:56">
      <c r="B8" s="38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38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>
        <v>120623</v>
      </c>
      <c r="J9" s="1">
        <v>94948</v>
      </c>
      <c r="K9" s="1">
        <v>85074</v>
      </c>
      <c r="L9" s="1">
        <v>136798</v>
      </c>
      <c r="M9" s="1">
        <f>119078</f>
        <v>119078</v>
      </c>
      <c r="N9" s="1">
        <v>470215</v>
      </c>
      <c r="O9" s="1">
        <f>SUM(C9:N9)</f>
        <v>1886725</v>
      </c>
      <c r="P9" s="1"/>
    </row>
    <row r="10" spans="2:56">
      <c r="B10" s="38" t="s">
        <v>45</v>
      </c>
      <c r="C10" s="26">
        <f>(C9-C8)/C8</f>
        <v>0.23861983374500859</v>
      </c>
      <c r="D10" s="26">
        <f t="shared" ref="D10" si="4">(D9-D8)/D8</f>
        <v>-0.37890100857063413</v>
      </c>
      <c r="E10" s="26">
        <f t="shared" ref="E10" si="5">(E9-E8)/E8</f>
        <v>0.10312161274594744</v>
      </c>
      <c r="F10" s="26">
        <f t="shared" ref="F10" si="6">(F9-F8)/F8</f>
        <v>-0.38716943422531858</v>
      </c>
      <c r="G10" s="26">
        <f t="shared" ref="G10" si="7">(G9-G8)/G8</f>
        <v>2.6602410415315181E-2</v>
      </c>
      <c r="H10" s="26">
        <f t="shared" ref="H10" si="8">(H9-H8)/H8</f>
        <v>-0.40435301181030969</v>
      </c>
      <c r="I10" s="26">
        <f t="shared" ref="I10" si="9">(I9-I8)/I8</f>
        <v>-0.2709339855665201</v>
      </c>
      <c r="J10" s="26">
        <f t="shared" ref="J10" si="10">(J9-J8)/J8</f>
        <v>-0.42611807086185843</v>
      </c>
      <c r="K10" s="26">
        <f t="shared" ref="K10" si="11">(K9-K8)/K8</f>
        <v>-0.48579821334311141</v>
      </c>
      <c r="L10" s="26">
        <f t="shared" ref="L10" si="12">(L9-L8)/L8</f>
        <v>-0.17316952287315698</v>
      </c>
      <c r="M10" s="26">
        <f t="shared" ref="M10" si="13">(M9-M8)/M8</f>
        <v>-0.2802722294528413</v>
      </c>
      <c r="N10" s="26">
        <f t="shared" ref="N10" si="14">(N9-N8)/N8</f>
        <v>1.8420597728197672</v>
      </c>
      <c r="O10" s="26">
        <f t="shared" ref="O10" si="15">(O9-O8)/O8</f>
        <v>-4.9692653914809426E-2</v>
      </c>
    </row>
    <row r="13" spans="2:56" ht="15.75" thickBot="1">
      <c r="B13" s="39" t="s">
        <v>77</v>
      </c>
    </row>
    <row r="14" spans="2:56" ht="60">
      <c r="B14" s="62"/>
      <c r="C14" s="63" t="s">
        <v>65</v>
      </c>
      <c r="D14" s="63" t="s">
        <v>63</v>
      </c>
      <c r="E14" s="63" t="s">
        <v>64</v>
      </c>
      <c r="F14" s="63"/>
      <c r="G14" s="79" t="s">
        <v>67</v>
      </c>
      <c r="H14" s="63"/>
      <c r="I14" s="64" t="s">
        <v>68</v>
      </c>
    </row>
    <row r="15" spans="2:56">
      <c r="B15" s="65" t="s">
        <v>79</v>
      </c>
      <c r="C15" s="27">
        <v>68269598</v>
      </c>
      <c r="D15" s="27">
        <f>8760000*2.9</f>
        <v>25404000</v>
      </c>
      <c r="E15" s="27">
        <f>SUM(C15:D15)</f>
        <v>93673598</v>
      </c>
      <c r="F15" s="66" t="s">
        <v>61</v>
      </c>
      <c r="G15" s="84">
        <f>G20+G25</f>
        <v>118176285</v>
      </c>
      <c r="H15" s="27" t="s">
        <v>61</v>
      </c>
      <c r="I15" s="67">
        <f>G15/C15</f>
        <v>1.7310235955981461</v>
      </c>
    </row>
    <row r="16" spans="2:56">
      <c r="B16" s="65" t="s">
        <v>81</v>
      </c>
      <c r="C16" s="27">
        <f>85482428-(7358400+3153600)</f>
        <v>74970428</v>
      </c>
      <c r="D16" s="27">
        <f>7358400+3153600</f>
        <v>10512000</v>
      </c>
      <c r="E16" s="27">
        <f t="shared" ref="E16:E23" si="16">SUM(C16:D16)</f>
        <v>85482428</v>
      </c>
      <c r="F16" s="66" t="s">
        <v>61</v>
      </c>
      <c r="G16" s="84">
        <f t="shared" ref="G16:G18" si="17">G21+G26</f>
        <v>118176285</v>
      </c>
      <c r="H16" s="27" t="s">
        <v>61</v>
      </c>
      <c r="I16" s="67">
        <f t="shared" ref="I16:I18" si="18">G16/C16</f>
        <v>1.5763053266816083</v>
      </c>
    </row>
    <row r="17" spans="2:9">
      <c r="B17" s="68" t="s">
        <v>80</v>
      </c>
      <c r="C17" s="69">
        <v>2336541</v>
      </c>
      <c r="D17" s="69">
        <v>0</v>
      </c>
      <c r="E17" s="69">
        <f t="shared" si="16"/>
        <v>2336541</v>
      </c>
      <c r="F17" s="70" t="s">
        <v>62</v>
      </c>
      <c r="G17" s="85">
        <f t="shared" si="17"/>
        <v>1886725</v>
      </c>
      <c r="H17" s="69" t="s">
        <v>62</v>
      </c>
      <c r="I17" s="71">
        <f t="shared" si="18"/>
        <v>0.80748636552921604</v>
      </c>
    </row>
    <row r="18" spans="2:9">
      <c r="B18" s="68" t="s">
        <v>82</v>
      </c>
      <c r="C18" s="69">
        <v>1985384</v>
      </c>
      <c r="D18" s="69">
        <v>0</v>
      </c>
      <c r="E18" s="69">
        <f t="shared" si="16"/>
        <v>1985384</v>
      </c>
      <c r="F18" s="70" t="s">
        <v>62</v>
      </c>
      <c r="G18" s="85">
        <f t="shared" si="17"/>
        <v>1886725</v>
      </c>
      <c r="H18" s="69" t="s">
        <v>62</v>
      </c>
      <c r="I18" s="71">
        <f t="shared" si="18"/>
        <v>0.95030734608519052</v>
      </c>
    </row>
    <row r="19" spans="2:9">
      <c r="B19" s="65"/>
      <c r="C19" s="27"/>
      <c r="D19" s="27"/>
      <c r="E19" s="27"/>
      <c r="F19" s="66"/>
      <c r="G19" s="80"/>
      <c r="H19" s="27"/>
      <c r="I19" s="72"/>
    </row>
    <row r="20" spans="2:9">
      <c r="B20" s="65" t="s">
        <v>89</v>
      </c>
      <c r="C20" s="27">
        <f>C15*0.618262</f>
        <v>42208498.198675998</v>
      </c>
      <c r="D20" s="27">
        <f>D15*0.618262</f>
        <v>15706327.847999999</v>
      </c>
      <c r="E20" s="27">
        <f t="shared" si="16"/>
        <v>57914826.046675995</v>
      </c>
      <c r="F20" s="66" t="s">
        <v>61</v>
      </c>
      <c r="G20" s="80">
        <f>1940414+34450246+6714839+141120+914793+7786722+27788160+87066</f>
        <v>79823360</v>
      </c>
      <c r="H20" s="27" t="s">
        <v>61</v>
      </c>
      <c r="I20" s="67">
        <f>G20/C20</f>
        <v>1.8911679734320401</v>
      </c>
    </row>
    <row r="21" spans="2:9">
      <c r="B21" s="65" t="s">
        <v>83</v>
      </c>
      <c r="C21" s="27">
        <f>60151634-7358400</f>
        <v>52793234</v>
      </c>
      <c r="D21" s="27">
        <v>7358400</v>
      </c>
      <c r="E21" s="27">
        <f t="shared" si="16"/>
        <v>60151634</v>
      </c>
      <c r="F21" s="66" t="s">
        <v>61</v>
      </c>
      <c r="G21" s="84">
        <f>G20</f>
        <v>79823360</v>
      </c>
      <c r="H21" s="27" t="s">
        <v>61</v>
      </c>
      <c r="I21" s="67">
        <f t="shared" ref="I21:I23" si="19">G21/C21</f>
        <v>1.5119998142186175</v>
      </c>
    </row>
    <row r="22" spans="2:9">
      <c r="B22" s="68" t="s">
        <v>92</v>
      </c>
      <c r="C22" s="69">
        <f>C17*0.701638</f>
        <v>1639405.9541579999</v>
      </c>
      <c r="D22" s="69">
        <v>0</v>
      </c>
      <c r="E22" s="69">
        <f t="shared" si="16"/>
        <v>1639405.9541579999</v>
      </c>
      <c r="F22" s="70" t="s">
        <v>62</v>
      </c>
      <c r="G22" s="81">
        <f>77381+826095+580686</f>
        <v>1484162</v>
      </c>
      <c r="H22" s="69" t="s">
        <v>62</v>
      </c>
      <c r="I22" s="71">
        <f t="shared" si="19"/>
        <v>0.90530475153865508</v>
      </c>
    </row>
    <row r="23" spans="2:9">
      <c r="B23" s="68" t="s">
        <v>84</v>
      </c>
      <c r="C23" s="69">
        <v>1399076</v>
      </c>
      <c r="D23" s="69">
        <v>0</v>
      </c>
      <c r="E23" s="69">
        <f t="shared" si="16"/>
        <v>1399076</v>
      </c>
      <c r="F23" s="70" t="s">
        <v>62</v>
      </c>
      <c r="G23" s="85">
        <f>G22</f>
        <v>1484162</v>
      </c>
      <c r="H23" s="69" t="s">
        <v>62</v>
      </c>
      <c r="I23" s="71">
        <f t="shared" si="19"/>
        <v>1.0608158527485283</v>
      </c>
    </row>
    <row r="24" spans="2:9">
      <c r="B24" s="65"/>
      <c r="C24" s="77"/>
      <c r="D24" s="27"/>
      <c r="E24" s="27"/>
      <c r="F24" s="66"/>
      <c r="G24" s="80"/>
      <c r="H24" s="27"/>
      <c r="I24" s="72"/>
    </row>
    <row r="25" spans="2:9">
      <c r="B25" s="65" t="s">
        <v>90</v>
      </c>
      <c r="C25" s="27">
        <f>C15-C20</f>
        <v>26061099.801324002</v>
      </c>
      <c r="D25" s="27">
        <f>D15-D20</f>
        <v>9697672.1520000007</v>
      </c>
      <c r="E25" s="27">
        <f t="shared" ref="E25:E28" si="20">SUM(C25:D25)</f>
        <v>35758771.953324005</v>
      </c>
      <c r="F25" s="66" t="s">
        <v>61</v>
      </c>
      <c r="G25" s="81">
        <f>864579+14750568+3293910+58016+339174+3337166+15709512</f>
        <v>38352925</v>
      </c>
      <c r="H25" s="27" t="s">
        <v>61</v>
      </c>
      <c r="I25" s="67">
        <f>G25/C25</f>
        <v>1.4716541240539482</v>
      </c>
    </row>
    <row r="26" spans="2:9">
      <c r="B26" s="65" t="s">
        <v>85</v>
      </c>
      <c r="C26" s="27">
        <f>25330794-3153600</f>
        <v>22177194</v>
      </c>
      <c r="D26" s="27">
        <v>3153600</v>
      </c>
      <c r="E26" s="27">
        <f t="shared" si="20"/>
        <v>25330794</v>
      </c>
      <c r="F26" s="66" t="s">
        <v>61</v>
      </c>
      <c r="G26" s="85">
        <f>G25</f>
        <v>38352925</v>
      </c>
      <c r="H26" s="27" t="s">
        <v>61</v>
      </c>
      <c r="I26" s="67">
        <f t="shared" ref="I26:I28" si="21">G26/C26</f>
        <v>1.7293858276209335</v>
      </c>
    </row>
    <row r="27" spans="2:9">
      <c r="B27" s="65" t="s">
        <v>91</v>
      </c>
      <c r="C27" s="27">
        <f>C17-C22</f>
        <v>697135.04584200005</v>
      </c>
      <c r="D27" s="27">
        <v>0</v>
      </c>
      <c r="E27" s="27">
        <f t="shared" si="20"/>
        <v>697135.04584200005</v>
      </c>
      <c r="F27" s="66" t="s">
        <v>62</v>
      </c>
      <c r="G27" s="81">
        <f>31675+149600+221288</f>
        <v>402563</v>
      </c>
      <c r="H27" s="27" t="s">
        <v>62</v>
      </c>
      <c r="I27" s="67">
        <f t="shared" si="21"/>
        <v>0.57745339644169547</v>
      </c>
    </row>
    <row r="28" spans="2:9">
      <c r="B28" s="65" t="s">
        <v>86</v>
      </c>
      <c r="C28" s="27">
        <f>C18-C23</f>
        <v>586308</v>
      </c>
      <c r="D28" s="27">
        <v>0</v>
      </c>
      <c r="E28" s="27">
        <f t="shared" si="20"/>
        <v>586308</v>
      </c>
      <c r="F28" s="66" t="s">
        <v>62</v>
      </c>
      <c r="G28" s="84">
        <f>G27</f>
        <v>402563</v>
      </c>
      <c r="H28" s="27" t="s">
        <v>62</v>
      </c>
      <c r="I28" s="67">
        <f t="shared" si="21"/>
        <v>0.68660669818593645</v>
      </c>
    </row>
    <row r="29" spans="2:9">
      <c r="B29" s="65"/>
      <c r="C29" s="27"/>
      <c r="D29" s="66"/>
      <c r="E29" s="66"/>
      <c r="F29" s="66"/>
      <c r="G29" s="80"/>
      <c r="H29" s="27"/>
      <c r="I29" s="72"/>
    </row>
    <row r="30" spans="2:9">
      <c r="B30" s="65" t="s">
        <v>87</v>
      </c>
      <c r="C30" s="27"/>
      <c r="D30" s="66"/>
      <c r="E30" s="27">
        <v>65990300</v>
      </c>
      <c r="F30" s="66" t="s">
        <v>61</v>
      </c>
      <c r="G30" s="85">
        <f>G20-G31</f>
        <v>77266968</v>
      </c>
      <c r="H30" s="27" t="s">
        <v>61</v>
      </c>
      <c r="I30" s="67">
        <f>G30/E30</f>
        <v>1.1708837207892675</v>
      </c>
    </row>
    <row r="31" spans="2:9">
      <c r="B31" s="65" t="s">
        <v>66</v>
      </c>
      <c r="C31" s="27"/>
      <c r="D31" s="66"/>
      <c r="E31" s="27">
        <v>1310520</v>
      </c>
      <c r="F31" s="66" t="s">
        <v>61</v>
      </c>
      <c r="G31" s="81">
        <f>439793+553920+744330+818349</f>
        <v>2556392</v>
      </c>
      <c r="H31" s="27" t="s">
        <v>61</v>
      </c>
      <c r="I31" s="67">
        <f t="shared" ref="I31:I32" si="22">G31/E31</f>
        <v>1.950669963068095</v>
      </c>
    </row>
    <row r="32" spans="2:9" ht="15.75" thickBot="1">
      <c r="B32" s="73" t="s">
        <v>88</v>
      </c>
      <c r="C32" s="74"/>
      <c r="D32" s="74"/>
      <c r="E32" s="75">
        <f>SUM(E30:E31)</f>
        <v>67300820</v>
      </c>
      <c r="F32" s="74" t="s">
        <v>61</v>
      </c>
      <c r="G32" s="86">
        <f>SUM(G30:G31)</f>
        <v>79823360</v>
      </c>
      <c r="H32" s="75" t="s">
        <v>61</v>
      </c>
      <c r="I32" s="76">
        <f t="shared" si="22"/>
        <v>1.1860681638054336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2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0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0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0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1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0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0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0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0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0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0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0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0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1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2"/>
    </row>
    <row r="29" spans="1:16">
      <c r="B29" s="10" t="s">
        <v>59</v>
      </c>
      <c r="O29" s="52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>
        <v>62618.83</v>
      </c>
      <c r="J30" s="18">
        <v>75649.59</v>
      </c>
      <c r="K30" s="18">
        <v>180162.18</v>
      </c>
      <c r="L30" s="18">
        <v>118491.23</v>
      </c>
      <c r="M30" s="18">
        <v>220894.81</v>
      </c>
      <c r="N30" s="18">
        <v>182030.48</v>
      </c>
      <c r="O30" s="50">
        <f t="shared" ref="O30:O36" si="10">SUM(C30:N30)</f>
        <v>1600249.83</v>
      </c>
      <c r="P30" s="16">
        <f t="shared" ref="P30:P36" si="11">SUM(D30:O30)</f>
        <v>3006977.62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>
        <v>49059.56</v>
      </c>
      <c r="J31" s="18">
        <v>12317.36</v>
      </c>
      <c r="K31" s="18">
        <v>284795.68</v>
      </c>
      <c r="L31" s="18">
        <v>504572.81</v>
      </c>
      <c r="M31" s="18">
        <v>752298.31</v>
      </c>
      <c r="N31" s="18">
        <v>59545.67</v>
      </c>
      <c r="O31" s="50">
        <f t="shared" si="10"/>
        <v>2128966.1800000002</v>
      </c>
      <c r="P31" s="16">
        <f t="shared" si="11"/>
        <v>4146730.89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>
        <v>24378.670000000002</v>
      </c>
      <c r="J32" s="18">
        <v>24238.560000000001</v>
      </c>
      <c r="K32" s="18">
        <v>28026.799999999999</v>
      </c>
      <c r="L32" s="18"/>
      <c r="M32" s="18">
        <v>37264.340000000004</v>
      </c>
      <c r="N32" s="18">
        <v>33595.879999999997</v>
      </c>
      <c r="O32" s="50">
        <f t="shared" si="10"/>
        <v>489163.97</v>
      </c>
      <c r="P32" s="16">
        <f t="shared" si="11"/>
        <v>978327.94</v>
      </c>
    </row>
    <row r="33" spans="1:16" hidden="1">
      <c r="B33" s="6" t="s">
        <v>33</v>
      </c>
      <c r="C33" s="18"/>
      <c r="D33" s="18"/>
      <c r="E33" s="18"/>
      <c r="F33" s="34"/>
      <c r="G33" s="18"/>
      <c r="H33" s="18"/>
      <c r="I33" s="18"/>
      <c r="J33" s="18"/>
      <c r="K33" s="18"/>
      <c r="L33" s="18"/>
      <c r="M33" s="18"/>
      <c r="N33" s="18"/>
      <c r="O33" s="50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4"/>
      <c r="G34" s="18"/>
      <c r="H34" s="18"/>
      <c r="I34" s="18"/>
      <c r="J34" s="18"/>
      <c r="K34" s="18"/>
      <c r="L34" s="18"/>
      <c r="M34" s="18"/>
      <c r="N34" s="18"/>
      <c r="O34" s="50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4"/>
      <c r="G35" s="18"/>
      <c r="H35" s="18"/>
      <c r="I35" s="18"/>
      <c r="J35" s="18"/>
      <c r="K35" s="18"/>
      <c r="L35" s="18"/>
      <c r="M35" s="18"/>
      <c r="N35" s="18"/>
      <c r="O35" s="50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4"/>
      <c r="G36" s="18"/>
      <c r="H36" s="18"/>
      <c r="I36" s="18"/>
      <c r="J36" s="18"/>
      <c r="K36" s="18"/>
      <c r="L36" s="18"/>
      <c r="M36" s="18"/>
      <c r="N36" s="18"/>
      <c r="O36" s="50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136057.06</v>
      </c>
      <c r="J37" s="19">
        <f t="shared" si="12"/>
        <v>112205.51</v>
      </c>
      <c r="K37" s="19">
        <f t="shared" si="12"/>
        <v>492984.66</v>
      </c>
      <c r="L37" s="19">
        <f t="shared" si="12"/>
        <v>623064.04</v>
      </c>
      <c r="M37" s="19">
        <f t="shared" si="12"/>
        <v>1010457.4600000001</v>
      </c>
      <c r="N37" s="19">
        <f t="shared" si="12"/>
        <v>275172.03000000003</v>
      </c>
      <c r="O37" s="51">
        <f t="shared" ref="O37" si="13">SUM(O30:O36)</f>
        <v>4218379.9800000004</v>
      </c>
      <c r="P37" s="19">
        <f>SUM(P30:P36)</f>
        <v>8132036.4499999993</v>
      </c>
    </row>
    <row r="38" spans="1:16">
      <c r="B38" s="10"/>
      <c r="C38" s="18"/>
      <c r="D38" s="18"/>
      <c r="E38" s="18"/>
      <c r="F38" s="33"/>
      <c r="G38" s="18"/>
      <c r="H38" s="18"/>
      <c r="I38" s="18"/>
      <c r="J38" s="18"/>
      <c r="K38" s="18"/>
      <c r="L38" s="18"/>
      <c r="M38" s="18"/>
      <c r="N38" s="18"/>
      <c r="O38" s="54"/>
      <c r="P38" s="18"/>
    </row>
    <row r="39" spans="1:16">
      <c r="B39" s="10" t="s">
        <v>119</v>
      </c>
      <c r="C39" s="18"/>
      <c r="D39" s="18"/>
      <c r="E39" s="18"/>
      <c r="F39" s="33"/>
      <c r="G39" s="18"/>
      <c r="H39" s="18"/>
      <c r="I39" s="18"/>
      <c r="J39" s="18"/>
      <c r="K39" s="18"/>
      <c r="L39" s="18"/>
      <c r="M39" s="18"/>
      <c r="N39" s="18"/>
      <c r="O39" s="50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>
        <v>6568.1100000000006</v>
      </c>
      <c r="J40" s="18">
        <v>14077.75</v>
      </c>
      <c r="K40" s="18">
        <v>17647.78</v>
      </c>
      <c r="L40" s="18">
        <v>32253.809999999998</v>
      </c>
      <c r="M40" s="18">
        <v>26883.68</v>
      </c>
      <c r="N40" s="18">
        <v>38790.259999999995</v>
      </c>
      <c r="O40" s="50">
        <f t="shared" ref="O40:O47" si="14">SUM(C40:N40)</f>
        <v>301607.57000000007</v>
      </c>
      <c r="P40" s="16">
        <f t="shared" ref="P40:P47" si="15">SUM(D40:O40)</f>
        <v>534085.8600000001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>
        <v>163277.80000000002</v>
      </c>
      <c r="J41" s="18">
        <v>484581.23</v>
      </c>
      <c r="K41" s="18">
        <v>599334.30000000005</v>
      </c>
      <c r="L41" s="18">
        <v>133904.18</v>
      </c>
      <c r="M41" s="18">
        <v>-462122</v>
      </c>
      <c r="N41" s="18">
        <v>130351.69</v>
      </c>
      <c r="O41" s="50">
        <f t="shared" si="14"/>
        <v>1155590.21</v>
      </c>
      <c r="P41" s="16">
        <f t="shared" si="15"/>
        <v>2307482.2699999996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>
        <v>3395.05</v>
      </c>
      <c r="J42" s="18">
        <v>41.24</v>
      </c>
      <c r="K42" s="18">
        <v>2621.04</v>
      </c>
      <c r="L42" s="18">
        <v>2272.41</v>
      </c>
      <c r="M42" s="18">
        <v>1050.44</v>
      </c>
      <c r="N42" s="18">
        <v>6780.47</v>
      </c>
      <c r="O42" s="50">
        <f t="shared" si="14"/>
        <v>26549.989999999998</v>
      </c>
      <c r="P42" s="16">
        <f t="shared" si="15"/>
        <v>52316.929999999993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>
        <v>117529.99</v>
      </c>
      <c r="J45" s="18">
        <v>5.99</v>
      </c>
      <c r="K45" s="18">
        <v>32716.44</v>
      </c>
      <c r="L45" s="18">
        <v>207646.97</v>
      </c>
      <c r="M45" s="18"/>
      <c r="N45" s="18">
        <v>8.17</v>
      </c>
      <c r="O45" s="50">
        <f t="shared" si="14"/>
        <v>522593.49000000005</v>
      </c>
      <c r="P45" s="16">
        <f t="shared" si="15"/>
        <v>1044137.62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>
        <v>29246.329999999998</v>
      </c>
      <c r="J46" s="18">
        <v>7374.01</v>
      </c>
      <c r="K46" s="18">
        <v>67010.94</v>
      </c>
      <c r="L46" s="18">
        <v>68396.75</v>
      </c>
      <c r="M46" s="18">
        <v>22802.83</v>
      </c>
      <c r="N46" s="18">
        <v>48816.84</v>
      </c>
      <c r="O46" s="50">
        <f t="shared" ref="O46" si="16">SUM(C46:N46)</f>
        <v>395100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>
        <v>42599.07</v>
      </c>
      <c r="J47" s="18">
        <v>47392.43</v>
      </c>
      <c r="K47" s="18">
        <v>51469.310000000005</v>
      </c>
      <c r="L47" s="18">
        <v>57732.82</v>
      </c>
      <c r="M47" s="18">
        <v>56341.79</v>
      </c>
      <c r="N47" s="18">
        <v>64874.32</v>
      </c>
      <c r="O47" s="50">
        <f t="shared" si="14"/>
        <v>648313.41</v>
      </c>
      <c r="P47" s="16">
        <f t="shared" si="15"/>
        <v>1252104.1499999999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362616.35000000003</v>
      </c>
      <c r="J48" s="19">
        <f t="shared" si="17"/>
        <v>553472.65</v>
      </c>
      <c r="K48" s="19">
        <f t="shared" si="17"/>
        <v>770799.81</v>
      </c>
      <c r="L48" s="19">
        <f t="shared" si="17"/>
        <v>502206.94</v>
      </c>
      <c r="M48" s="19">
        <f t="shared" si="17"/>
        <v>-355043.26</v>
      </c>
      <c r="N48" s="19">
        <f t="shared" si="17"/>
        <v>289621.75</v>
      </c>
      <c r="O48" s="51">
        <f t="shared" si="17"/>
        <v>3049754.67</v>
      </c>
      <c r="P48" s="19">
        <f>SUM(P40:P47)</f>
        <v>5190126.83</v>
      </c>
    </row>
    <row r="49" spans="1:16">
      <c r="B49" s="10"/>
      <c r="C49" s="18"/>
      <c r="D49" s="18"/>
      <c r="E49" s="18"/>
      <c r="F49" s="33"/>
      <c r="G49" s="18"/>
      <c r="H49" s="18"/>
      <c r="I49" s="18"/>
      <c r="J49" s="18"/>
      <c r="K49" s="18"/>
      <c r="L49" s="18"/>
      <c r="M49" s="18"/>
      <c r="N49" s="18"/>
      <c r="O49" s="54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498673.41000000003</v>
      </c>
      <c r="J50" s="21">
        <f t="shared" si="18"/>
        <v>665678.16</v>
      </c>
      <c r="K50" s="21">
        <f t="shared" si="18"/>
        <v>1263784.47</v>
      </c>
      <c r="L50" s="21">
        <f t="shared" si="18"/>
        <v>1125270.98</v>
      </c>
      <c r="M50" s="21">
        <f t="shared" si="18"/>
        <v>655414.20000000007</v>
      </c>
      <c r="N50" s="21">
        <f t="shared" si="18"/>
        <v>564793.78</v>
      </c>
      <c r="O50" s="21">
        <f t="shared" si="18"/>
        <v>7268134.6500000004</v>
      </c>
      <c r="P50" s="21" t="e">
        <f>#REF!+P48+P37</f>
        <v>#REF!</v>
      </c>
    </row>
    <row r="51" spans="1:16" ht="15.75" thickTop="1">
      <c r="B51" s="9"/>
      <c r="O51" s="52"/>
    </row>
    <row r="52" spans="1:16">
      <c r="B52" s="11" t="s">
        <v>39</v>
      </c>
      <c r="O52" s="52"/>
    </row>
    <row r="53" spans="1:16">
      <c r="B53" s="11" t="s">
        <v>41</v>
      </c>
      <c r="O53" s="52"/>
    </row>
    <row r="54" spans="1:16">
      <c r="B54" s="12" t="s">
        <v>31</v>
      </c>
      <c r="C54" s="34">
        <f t="shared" ref="C54:N54" si="19">C7-C30</f>
        <v>10823.626666666649</v>
      </c>
      <c r="D54" s="34">
        <f t="shared" si="19"/>
        <v>133731.41666666663</v>
      </c>
      <c r="E54" s="34">
        <f t="shared" si="19"/>
        <v>99310.616666666654</v>
      </c>
      <c r="F54" s="34">
        <f t="shared" si="19"/>
        <v>50380.486666666664</v>
      </c>
      <c r="G54" s="34">
        <f t="shared" si="19"/>
        <v>111172.87666666665</v>
      </c>
      <c r="H54" s="34">
        <f t="shared" si="19"/>
        <v>60252.266666666663</v>
      </c>
      <c r="I54" s="34">
        <f t="shared" si="19"/>
        <v>141726.83666666667</v>
      </c>
      <c r="J54" s="34">
        <f t="shared" si="19"/>
        <v>128696.07666666666</v>
      </c>
      <c r="K54" s="34">
        <f t="shared" si="19"/>
        <v>24183.486666666664</v>
      </c>
      <c r="L54" s="34">
        <f t="shared" si="19"/>
        <v>85854.436666666661</v>
      </c>
      <c r="M54" s="34">
        <f t="shared" si="19"/>
        <v>-16549.143333333341</v>
      </c>
      <c r="N54" s="34">
        <f t="shared" si="19"/>
        <v>22315.186666666646</v>
      </c>
      <c r="O54" s="50">
        <f t="shared" ref="O54:O60" si="20">SUM(C54:N54)</f>
        <v>851898.16999999993</v>
      </c>
    </row>
    <row r="55" spans="1:16">
      <c r="B55" s="12" t="s">
        <v>32</v>
      </c>
      <c r="C55" s="34">
        <f t="shared" ref="C55:N55" si="21">C8-C31</f>
        <v>-49825.720000000016</v>
      </c>
      <c r="D55" s="34">
        <f t="shared" si="21"/>
        <v>-31152.449999999997</v>
      </c>
      <c r="E55" s="34">
        <f t="shared" si="21"/>
        <v>-11653.190000000002</v>
      </c>
      <c r="F55" s="34">
        <f t="shared" si="21"/>
        <v>-5486.75</v>
      </c>
      <c r="G55" s="34">
        <f t="shared" si="21"/>
        <v>1813.6999999999971</v>
      </c>
      <c r="H55" s="34">
        <f t="shared" si="21"/>
        <v>-1817.8800000000047</v>
      </c>
      <c r="I55" s="34">
        <f t="shared" si="21"/>
        <v>12316.190000000002</v>
      </c>
      <c r="J55" s="34">
        <f t="shared" si="21"/>
        <v>49058.39</v>
      </c>
      <c r="K55" s="34">
        <f t="shared" si="21"/>
        <v>-223419.93</v>
      </c>
      <c r="L55" s="34">
        <f t="shared" si="21"/>
        <v>-443197.06</v>
      </c>
      <c r="M55" s="34">
        <f t="shared" si="21"/>
        <v>-690922.56</v>
      </c>
      <c r="N55" s="34">
        <f t="shared" si="21"/>
        <v>1830.0800000000017</v>
      </c>
      <c r="O55" s="50">
        <f t="shared" si="20"/>
        <v>-1392457.18</v>
      </c>
    </row>
    <row r="56" spans="1:16">
      <c r="B56" s="12" t="s">
        <v>76</v>
      </c>
      <c r="C56" s="34">
        <f t="shared" ref="C56:N56" si="22">C9-C32</f>
        <v>29609.083333333332</v>
      </c>
      <c r="D56" s="34">
        <f t="shared" si="22"/>
        <v>29609.083333333332</v>
      </c>
      <c r="E56" s="34">
        <f t="shared" si="22"/>
        <v>29609.083333333332</v>
      </c>
      <c r="F56" s="34">
        <f t="shared" si="22"/>
        <v>-78840.286666666667</v>
      </c>
      <c r="G56" s="34">
        <f t="shared" si="22"/>
        <v>29609.083333333332</v>
      </c>
      <c r="H56" s="34">
        <f t="shared" si="22"/>
        <v>-203601.26666666666</v>
      </c>
      <c r="I56" s="34">
        <f t="shared" si="22"/>
        <v>5230.4133333333302</v>
      </c>
      <c r="J56" s="34">
        <f t="shared" si="22"/>
        <v>5370.5233333333308</v>
      </c>
      <c r="K56" s="34">
        <f t="shared" si="22"/>
        <v>1582.2833333333328</v>
      </c>
      <c r="L56" s="34">
        <f t="shared" si="22"/>
        <v>29609.083333333332</v>
      </c>
      <c r="M56" s="34">
        <f t="shared" si="22"/>
        <v>-7655.2566666666717</v>
      </c>
      <c r="N56" s="34">
        <f t="shared" si="22"/>
        <v>-3986.7966666666653</v>
      </c>
      <c r="O56" s="50">
        <f t="shared" si="20"/>
        <v>-133854.97</v>
      </c>
    </row>
    <row r="57" spans="1:16" hidden="1">
      <c r="B57" s="12" t="s">
        <v>33</v>
      </c>
      <c r="C57" s="34">
        <f t="shared" ref="C57:N57" si="23">C10-C33</f>
        <v>0</v>
      </c>
      <c r="D57" s="34">
        <f t="shared" si="23"/>
        <v>0</v>
      </c>
      <c r="E57" s="34">
        <f t="shared" si="23"/>
        <v>0</v>
      </c>
      <c r="F57" s="34">
        <f t="shared" si="23"/>
        <v>0</v>
      </c>
      <c r="G57" s="34">
        <f t="shared" si="23"/>
        <v>0</v>
      </c>
      <c r="H57" s="34">
        <f t="shared" si="23"/>
        <v>0</v>
      </c>
      <c r="I57" s="34">
        <f t="shared" si="23"/>
        <v>0</v>
      </c>
      <c r="J57" s="34">
        <f t="shared" si="23"/>
        <v>0</v>
      </c>
      <c r="K57" s="34">
        <f t="shared" si="23"/>
        <v>0</v>
      </c>
      <c r="L57" s="34">
        <f t="shared" si="23"/>
        <v>0</v>
      </c>
      <c r="M57" s="34">
        <f t="shared" si="23"/>
        <v>0</v>
      </c>
      <c r="N57" s="34">
        <f t="shared" si="23"/>
        <v>0</v>
      </c>
      <c r="O57" s="50">
        <f t="shared" si="20"/>
        <v>0</v>
      </c>
    </row>
    <row r="58" spans="1:16" hidden="1">
      <c r="B58" s="12" t="s">
        <v>34</v>
      </c>
      <c r="C58" s="34">
        <f t="shared" ref="C58:N58" si="24">C11-C34</f>
        <v>0</v>
      </c>
      <c r="D58" s="34">
        <f t="shared" si="24"/>
        <v>0</v>
      </c>
      <c r="E58" s="34">
        <f t="shared" si="24"/>
        <v>0</v>
      </c>
      <c r="F58" s="34">
        <f t="shared" si="24"/>
        <v>0</v>
      </c>
      <c r="G58" s="34">
        <f t="shared" si="24"/>
        <v>0</v>
      </c>
      <c r="H58" s="34">
        <f t="shared" si="24"/>
        <v>0</v>
      </c>
      <c r="I58" s="34">
        <f t="shared" si="24"/>
        <v>0</v>
      </c>
      <c r="J58" s="34">
        <f t="shared" si="24"/>
        <v>0</v>
      </c>
      <c r="K58" s="34">
        <f t="shared" si="24"/>
        <v>0</v>
      </c>
      <c r="L58" s="34">
        <f t="shared" si="24"/>
        <v>0</v>
      </c>
      <c r="M58" s="34">
        <f t="shared" si="24"/>
        <v>0</v>
      </c>
      <c r="N58" s="34">
        <f t="shared" si="24"/>
        <v>0</v>
      </c>
      <c r="O58" s="50">
        <f t="shared" si="20"/>
        <v>0</v>
      </c>
    </row>
    <row r="59" spans="1:16" hidden="1">
      <c r="B59" s="12" t="s">
        <v>35</v>
      </c>
      <c r="C59" s="34">
        <f t="shared" ref="C59:N59" si="25">C12-C35</f>
        <v>0</v>
      </c>
      <c r="D59" s="34">
        <f t="shared" si="25"/>
        <v>0</v>
      </c>
      <c r="E59" s="34">
        <f t="shared" si="25"/>
        <v>0</v>
      </c>
      <c r="F59" s="34">
        <f t="shared" si="25"/>
        <v>0</v>
      </c>
      <c r="G59" s="34">
        <f t="shared" si="25"/>
        <v>0</v>
      </c>
      <c r="H59" s="34">
        <f t="shared" si="25"/>
        <v>0</v>
      </c>
      <c r="I59" s="34">
        <f t="shared" si="25"/>
        <v>0</v>
      </c>
      <c r="J59" s="34">
        <f t="shared" si="25"/>
        <v>0</v>
      </c>
      <c r="K59" s="34">
        <f t="shared" si="25"/>
        <v>0</v>
      </c>
      <c r="L59" s="34">
        <f t="shared" si="25"/>
        <v>0</v>
      </c>
      <c r="M59" s="34">
        <f t="shared" si="25"/>
        <v>0</v>
      </c>
      <c r="N59" s="34">
        <f t="shared" si="25"/>
        <v>0</v>
      </c>
      <c r="O59" s="50">
        <f t="shared" si="20"/>
        <v>0</v>
      </c>
    </row>
    <row r="60" spans="1:16" hidden="1">
      <c r="B60" s="12" t="s">
        <v>36</v>
      </c>
      <c r="C60" s="34">
        <f t="shared" ref="C60:N60" si="26">C13-C36</f>
        <v>0</v>
      </c>
      <c r="D60" s="34">
        <f t="shared" si="26"/>
        <v>0</v>
      </c>
      <c r="E60" s="34">
        <f t="shared" si="26"/>
        <v>0</v>
      </c>
      <c r="F60" s="34">
        <f t="shared" si="26"/>
        <v>0</v>
      </c>
      <c r="G60" s="34">
        <f t="shared" si="26"/>
        <v>0</v>
      </c>
      <c r="H60" s="34">
        <f t="shared" si="26"/>
        <v>0</v>
      </c>
      <c r="I60" s="34">
        <f t="shared" si="26"/>
        <v>0</v>
      </c>
      <c r="J60" s="34">
        <f t="shared" si="26"/>
        <v>0</v>
      </c>
      <c r="K60" s="34">
        <f t="shared" si="26"/>
        <v>0</v>
      </c>
      <c r="L60" s="34">
        <f t="shared" si="26"/>
        <v>0</v>
      </c>
      <c r="M60" s="34">
        <f t="shared" si="26"/>
        <v>0</v>
      </c>
      <c r="N60" s="34">
        <f t="shared" si="26"/>
        <v>0</v>
      </c>
      <c r="O60" s="50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159273.43999999994</v>
      </c>
      <c r="J61" s="19">
        <f t="shared" si="27"/>
        <v>183124.98999999993</v>
      </c>
      <c r="K61" s="19">
        <f t="shared" si="27"/>
        <v>-197654.16000000003</v>
      </c>
      <c r="L61" s="19">
        <f t="shared" si="27"/>
        <v>-327733.5400000001</v>
      </c>
      <c r="M61" s="19">
        <f t="shared" si="27"/>
        <v>-715126.9600000002</v>
      </c>
      <c r="N61" s="19">
        <f t="shared" si="27"/>
        <v>20158.469999999914</v>
      </c>
      <c r="O61" s="51">
        <f t="shared" ref="O61" si="28">SUM(O54:O60)</f>
        <v>-674413.98</v>
      </c>
    </row>
    <row r="62" spans="1:16">
      <c r="B62" s="11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54"/>
    </row>
    <row r="63" spans="1:16">
      <c r="B63" s="11" t="s">
        <v>125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0"/>
    </row>
    <row r="64" spans="1:16">
      <c r="B64" s="12" t="s">
        <v>31</v>
      </c>
      <c r="C64" s="34">
        <f t="shared" ref="C64:N64" si="29">C17-C40</f>
        <v>-43535.94666666667</v>
      </c>
      <c r="D64" s="34">
        <f t="shared" si="29"/>
        <v>2655.0133333333324</v>
      </c>
      <c r="E64" s="34">
        <f t="shared" si="29"/>
        <v>7267.8533333333326</v>
      </c>
      <c r="F64" s="34">
        <f t="shared" si="29"/>
        <v>9768.0333333333328</v>
      </c>
      <c r="G64" s="34">
        <f t="shared" si="29"/>
        <v>19419.733333333334</v>
      </c>
      <c r="H64" s="34">
        <f t="shared" si="29"/>
        <v>-7400.8666666666722</v>
      </c>
      <c r="I64" s="34">
        <f t="shared" si="29"/>
        <v>19025.223333333332</v>
      </c>
      <c r="J64" s="34">
        <f t="shared" si="29"/>
        <v>11515.583333333332</v>
      </c>
      <c r="K64" s="34">
        <f t="shared" si="29"/>
        <v>7945.5533333333333</v>
      </c>
      <c r="L64" s="34">
        <f t="shared" si="29"/>
        <v>-6660.4766666666656</v>
      </c>
      <c r="M64" s="34">
        <f t="shared" si="29"/>
        <v>-1290.3466666666682</v>
      </c>
      <c r="N64" s="34">
        <f t="shared" si="29"/>
        <v>-13196.926666666663</v>
      </c>
      <c r="O64" s="50">
        <f t="shared" ref="O64:O71" si="30">SUM(C64:N64)</f>
        <v>5512.429999999993</v>
      </c>
    </row>
    <row r="65" spans="1:15">
      <c r="B65" s="12" t="s">
        <v>32</v>
      </c>
      <c r="C65" s="34">
        <f t="shared" ref="C65:N65" si="31">C18-C41</f>
        <v>4356.1833333333325</v>
      </c>
      <c r="D65" s="34">
        <f t="shared" si="31"/>
        <v>4502.873333333333</v>
      </c>
      <c r="E65" s="34">
        <f t="shared" si="31"/>
        <v>-36029.436666666668</v>
      </c>
      <c r="F65" s="34">
        <f t="shared" si="31"/>
        <v>-5681.4666666666681</v>
      </c>
      <c r="G65" s="34">
        <f t="shared" si="31"/>
        <v>-4700.4366666666674</v>
      </c>
      <c r="H65" s="34">
        <f t="shared" si="31"/>
        <v>-20384.726666666669</v>
      </c>
      <c r="I65" s="34">
        <f t="shared" si="31"/>
        <v>-155223.46666666667</v>
      </c>
      <c r="J65" s="34">
        <f t="shared" si="31"/>
        <v>-476526.89666666667</v>
      </c>
      <c r="K65" s="34">
        <f t="shared" si="31"/>
        <v>-591279.96666666667</v>
      </c>
      <c r="L65" s="34">
        <f t="shared" si="31"/>
        <v>-125849.84666666666</v>
      </c>
      <c r="M65" s="34">
        <f t="shared" si="31"/>
        <v>470176.33333333331</v>
      </c>
      <c r="N65" s="34">
        <f t="shared" si="31"/>
        <v>-122297.35666666667</v>
      </c>
      <c r="O65" s="50">
        <f t="shared" si="30"/>
        <v>-1058938.21</v>
      </c>
    </row>
    <row r="66" spans="1:15">
      <c r="B66" s="12" t="s">
        <v>76</v>
      </c>
      <c r="C66" s="34">
        <f t="shared" ref="C66:N66" si="32">C19-C42</f>
        <v>3658.2833333333328</v>
      </c>
      <c r="D66" s="34">
        <f t="shared" si="32"/>
        <v>4352.7933333333331</v>
      </c>
      <c r="E66" s="34">
        <f t="shared" si="32"/>
        <v>668.54333333333307</v>
      </c>
      <c r="F66" s="34">
        <f t="shared" si="32"/>
        <v>3343.1833333333329</v>
      </c>
      <c r="G66" s="34">
        <f t="shared" si="32"/>
        <v>1197.7733333333331</v>
      </c>
      <c r="H66" s="34">
        <f t="shared" si="32"/>
        <v>3038.083333333333</v>
      </c>
      <c r="I66" s="34">
        <f t="shared" si="32"/>
        <v>1046.2833333333328</v>
      </c>
      <c r="J66" s="34">
        <f t="shared" si="32"/>
        <v>4400.0933333333332</v>
      </c>
      <c r="K66" s="34">
        <f t="shared" si="32"/>
        <v>1820.2933333333331</v>
      </c>
      <c r="L66" s="34">
        <f t="shared" si="32"/>
        <v>2168.9233333333332</v>
      </c>
      <c r="M66" s="34">
        <f t="shared" si="32"/>
        <v>3390.893333333333</v>
      </c>
      <c r="N66" s="34">
        <f t="shared" si="32"/>
        <v>-2339.1366666666672</v>
      </c>
      <c r="O66" s="50">
        <f t="shared" si="30"/>
        <v>26746.009999999995</v>
      </c>
    </row>
    <row r="67" spans="1:15" hidden="1">
      <c r="B67" s="12" t="s">
        <v>33</v>
      </c>
      <c r="C67" s="34">
        <f t="shared" ref="C67:N67" si="33">C20-C43</f>
        <v>0</v>
      </c>
      <c r="D67" s="34">
        <f t="shared" si="33"/>
        <v>0</v>
      </c>
      <c r="E67" s="34">
        <f t="shared" si="33"/>
        <v>0</v>
      </c>
      <c r="F67" s="34">
        <f t="shared" si="33"/>
        <v>0</v>
      </c>
      <c r="G67" s="34">
        <f t="shared" si="33"/>
        <v>0</v>
      </c>
      <c r="H67" s="34">
        <f t="shared" si="33"/>
        <v>0</v>
      </c>
      <c r="I67" s="34">
        <f t="shared" si="33"/>
        <v>0</v>
      </c>
      <c r="J67" s="34">
        <f t="shared" si="33"/>
        <v>0</v>
      </c>
      <c r="K67" s="34">
        <f t="shared" si="33"/>
        <v>0</v>
      </c>
      <c r="L67" s="34">
        <f t="shared" si="33"/>
        <v>0</v>
      </c>
      <c r="M67" s="34">
        <f t="shared" si="33"/>
        <v>0</v>
      </c>
      <c r="N67" s="34">
        <f t="shared" si="33"/>
        <v>0</v>
      </c>
      <c r="O67" s="50">
        <f t="shared" si="30"/>
        <v>0</v>
      </c>
    </row>
    <row r="68" spans="1:15" hidden="1">
      <c r="B68" s="12" t="s">
        <v>34</v>
      </c>
      <c r="C68" s="34">
        <f t="shared" ref="C68:N68" si="34">C21-C44</f>
        <v>0</v>
      </c>
      <c r="D68" s="34">
        <f t="shared" si="34"/>
        <v>0</v>
      </c>
      <c r="E68" s="34">
        <f t="shared" si="34"/>
        <v>0</v>
      </c>
      <c r="F68" s="34">
        <f t="shared" si="34"/>
        <v>0</v>
      </c>
      <c r="G68" s="34">
        <f t="shared" si="34"/>
        <v>0</v>
      </c>
      <c r="H68" s="34">
        <f t="shared" si="34"/>
        <v>0</v>
      </c>
      <c r="I68" s="34">
        <f t="shared" si="34"/>
        <v>0</v>
      </c>
      <c r="J68" s="34">
        <f t="shared" si="34"/>
        <v>0</v>
      </c>
      <c r="K68" s="34">
        <f t="shared" si="34"/>
        <v>0</v>
      </c>
      <c r="L68" s="34">
        <f t="shared" si="34"/>
        <v>0</v>
      </c>
      <c r="M68" s="34">
        <f t="shared" si="34"/>
        <v>0</v>
      </c>
      <c r="N68" s="34">
        <f t="shared" si="34"/>
        <v>0</v>
      </c>
      <c r="O68" s="50">
        <f t="shared" si="30"/>
        <v>0</v>
      </c>
    </row>
    <row r="69" spans="1:15">
      <c r="B69" s="12" t="s">
        <v>35</v>
      </c>
      <c r="C69" s="34">
        <f t="shared" ref="C69:N69" si="35">C22-C45</f>
        <v>52950.64</v>
      </c>
      <c r="D69" s="34">
        <f t="shared" si="35"/>
        <v>52698.49</v>
      </c>
      <c r="E69" s="34">
        <f t="shared" si="35"/>
        <v>52739.77</v>
      </c>
      <c r="F69" s="34">
        <f t="shared" si="35"/>
        <v>-107074.83000000002</v>
      </c>
      <c r="G69" s="34">
        <f t="shared" si="35"/>
        <v>54000</v>
      </c>
      <c r="H69" s="34">
        <f t="shared" si="35"/>
        <v>54000</v>
      </c>
      <c r="I69" s="34">
        <f t="shared" si="35"/>
        <v>-63529.990000000005</v>
      </c>
      <c r="J69" s="34">
        <f t="shared" si="35"/>
        <v>53994.01</v>
      </c>
      <c r="K69" s="34">
        <f t="shared" si="35"/>
        <v>21283.56</v>
      </c>
      <c r="L69" s="34">
        <f t="shared" si="35"/>
        <v>-153646.97</v>
      </c>
      <c r="M69" s="34">
        <f t="shared" si="35"/>
        <v>54000</v>
      </c>
      <c r="N69" s="34">
        <f t="shared" si="35"/>
        <v>53991.83</v>
      </c>
      <c r="O69" s="50">
        <f t="shared" si="30"/>
        <v>125406.50999999997</v>
      </c>
    </row>
    <row r="70" spans="1:15">
      <c r="B70" s="12" t="s">
        <v>78</v>
      </c>
      <c r="C70" s="34">
        <f t="shared" ref="C70:N70" si="36">C23-C46</f>
        <v>2408.3133333333317</v>
      </c>
      <c r="D70" s="34">
        <f t="shared" si="36"/>
        <v>-1315.2966666666689</v>
      </c>
      <c r="E70" s="34">
        <f t="shared" si="36"/>
        <v>-20296.576666666671</v>
      </c>
      <c r="F70" s="34">
        <f t="shared" si="36"/>
        <v>-3730.5866666666661</v>
      </c>
      <c r="G70" s="34">
        <f t="shared" si="36"/>
        <v>14247.413333333332</v>
      </c>
      <c r="H70" s="34">
        <f t="shared" si="36"/>
        <v>-23585.566666666669</v>
      </c>
      <c r="I70" s="34">
        <f t="shared" si="36"/>
        <v>-9382.996666666666</v>
      </c>
      <c r="J70" s="34">
        <f t="shared" si="36"/>
        <v>12489.323333333332</v>
      </c>
      <c r="K70" s="34">
        <f t="shared" si="36"/>
        <v>-47147.606666666674</v>
      </c>
      <c r="L70" s="34">
        <f t="shared" si="36"/>
        <v>-48533.416666666672</v>
      </c>
      <c r="M70" s="34">
        <f t="shared" si="36"/>
        <v>-2939.4966666666696</v>
      </c>
      <c r="N70" s="34">
        <f t="shared" si="36"/>
        <v>-28953.506666666664</v>
      </c>
      <c r="O70" s="50">
        <f t="shared" ref="O70" si="37">SUM(C70:N70)</f>
        <v>-156740.00000000003</v>
      </c>
    </row>
    <row r="71" spans="1:15">
      <c r="B71" s="12" t="s">
        <v>36</v>
      </c>
      <c r="C71" s="34">
        <f t="shared" ref="C71:N71" si="38">C24-C47</f>
        <v>33580.163333333323</v>
      </c>
      <c r="D71" s="34">
        <f t="shared" si="38"/>
        <v>22198.363333333327</v>
      </c>
      <c r="E71" s="34">
        <f t="shared" si="38"/>
        <v>20363.41333333333</v>
      </c>
      <c r="F71" s="34">
        <f t="shared" si="38"/>
        <v>10894.54333333332</v>
      </c>
      <c r="G71" s="34">
        <f t="shared" si="38"/>
        <v>27304.643333333326</v>
      </c>
      <c r="H71" s="34">
        <f t="shared" si="38"/>
        <v>26372.203333333331</v>
      </c>
      <c r="I71" s="34">
        <f t="shared" si="38"/>
        <v>35503.763333333329</v>
      </c>
      <c r="J71" s="34">
        <f t="shared" si="38"/>
        <v>30710.403333333328</v>
      </c>
      <c r="K71" s="34">
        <f t="shared" si="38"/>
        <v>26633.523333333324</v>
      </c>
      <c r="L71" s="34">
        <f t="shared" si="38"/>
        <v>20370.013333333329</v>
      </c>
      <c r="M71" s="34">
        <f t="shared" si="38"/>
        <v>21761.043333333328</v>
      </c>
      <c r="N71" s="34">
        <f t="shared" si="38"/>
        <v>13228.513333333329</v>
      </c>
      <c r="O71" s="50">
        <f t="shared" si="30"/>
        <v>288920.58999999991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-172561.18333333338</v>
      </c>
      <c r="J72" s="19">
        <f t="shared" si="39"/>
        <v>-363417.4833333334</v>
      </c>
      <c r="K72" s="19">
        <f t="shared" si="39"/>
        <v>-580744.64333333343</v>
      </c>
      <c r="L72" s="19">
        <f t="shared" si="39"/>
        <v>-312151.77333333332</v>
      </c>
      <c r="M72" s="19">
        <f t="shared" si="39"/>
        <v>545098.42666666664</v>
      </c>
      <c r="N72" s="19">
        <f t="shared" si="39"/>
        <v>-99566.583333333343</v>
      </c>
      <c r="O72" s="51">
        <f t="shared" ref="O72" si="40">SUM(O64:O71)</f>
        <v>-769092.67000000016</v>
      </c>
    </row>
    <row r="73" spans="1:15">
      <c r="B73" s="11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54"/>
    </row>
    <row r="74" spans="1:15" ht="15.75" thickBot="1">
      <c r="B74" s="11" t="s">
        <v>40</v>
      </c>
      <c r="C74" s="36">
        <f t="shared" ref="C74:N74" si="41">C27-C50</f>
        <v>44024.626666666591</v>
      </c>
      <c r="D74" s="36">
        <f t="shared" si="41"/>
        <v>217280.28666666662</v>
      </c>
      <c r="E74" s="36">
        <f t="shared" si="41"/>
        <v>141980.07666666666</v>
      </c>
      <c r="F74" s="36">
        <f t="shared" si="41"/>
        <v>-126427.67333333346</v>
      </c>
      <c r="G74" s="36">
        <f t="shared" si="41"/>
        <v>254064.78666666659</v>
      </c>
      <c r="H74" s="36">
        <f t="shared" si="41"/>
        <v>-113127.75333333341</v>
      </c>
      <c r="I74" s="36">
        <f t="shared" si="41"/>
        <v>-13287.743333333405</v>
      </c>
      <c r="J74" s="36">
        <f t="shared" si="41"/>
        <v>-180292.4933333334</v>
      </c>
      <c r="K74" s="36">
        <f t="shared" si="41"/>
        <v>-778398.80333333334</v>
      </c>
      <c r="L74" s="36">
        <f t="shared" si="41"/>
        <v>-639885.31333333335</v>
      </c>
      <c r="M74" s="36">
        <f t="shared" si="41"/>
        <v>-170028.53333333344</v>
      </c>
      <c r="N74" s="36">
        <f t="shared" si="41"/>
        <v>-79408.1133333334</v>
      </c>
      <c r="O74" s="55">
        <f>O72+O61</f>
        <v>-1443506.6500000001</v>
      </c>
    </row>
    <row r="75" spans="1:15" ht="15.75" thickTop="1">
      <c r="B75" s="9"/>
    </row>
    <row r="76" spans="1:15"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</row>
    <row r="81" spans="2:15">
      <c r="B81" s="88" t="s">
        <v>128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129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130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109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137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147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156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164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171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180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187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198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'ID-Sch191 Rider Balance'!J17</f>
        <v>-1066367.4880451078</v>
      </c>
    </row>
    <row r="3" spans="1:2">
      <c r="A3" s="78"/>
    </row>
    <row r="4" spans="1:2">
      <c r="A4" s="78" t="s">
        <v>70</v>
      </c>
      <c r="B4" s="1">
        <v>1615000</v>
      </c>
    </row>
    <row r="5" spans="1:2">
      <c r="A5" s="78" t="s">
        <v>71</v>
      </c>
      <c r="B5" s="82">
        <f>SUM('ID-Sch191 Rider Balance'!K11:N11)</f>
        <v>692542.33333333337</v>
      </c>
    </row>
    <row r="6" spans="1:2">
      <c r="A6" s="78"/>
      <c r="B6" s="1">
        <f>B5-B4</f>
        <v>-922457.66666666663</v>
      </c>
    </row>
    <row r="8" spans="1:2">
      <c r="A8" s="78" t="s">
        <v>72</v>
      </c>
      <c r="B8" s="3">
        <f>B2+B6</f>
        <v>-1988825.1547117746</v>
      </c>
    </row>
    <row r="10" spans="1:2">
      <c r="A10" s="78" t="s">
        <v>73</v>
      </c>
      <c r="B10" s="1">
        <v>4076000</v>
      </c>
    </row>
    <row r="11" spans="1:2">
      <c r="A11" t="s">
        <v>74</v>
      </c>
      <c r="B11" s="83"/>
    </row>
    <row r="12" spans="1:2">
      <c r="B12" s="3">
        <f>B11-B10</f>
        <v>-4076000</v>
      </c>
    </row>
    <row r="14" spans="1:2">
      <c r="A14" t="s">
        <v>75</v>
      </c>
      <c r="B14" s="3">
        <f>B8+B12</f>
        <v>-6064825.1547117746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S33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7" t="s">
        <v>51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-1079654.2962803815</v>
      </c>
      <c r="K5" s="1">
        <v>-1066367.4880451078</v>
      </c>
      <c r="L5" s="1">
        <v>-1005928.391143223</v>
      </c>
      <c r="M5" s="1">
        <v>-996822.06114322308</v>
      </c>
      <c r="N5" s="1">
        <v>-912023.51114322303</v>
      </c>
      <c r="O5" s="38"/>
      <c r="P5" s="42">
        <v>814739.21</v>
      </c>
      <c r="Q5" s="45">
        <v>-642636.67891676258</v>
      </c>
      <c r="R5" s="45">
        <v>-1078063.1049030586</v>
      </c>
      <c r="S5" s="45">
        <v>-1005928.3911432233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5">
        <v>2482581.4060323564</v>
      </c>
      <c r="P7" s="45">
        <v>984820.00325286924</v>
      </c>
      <c r="Q7" s="45">
        <v>365513.99925046647</v>
      </c>
      <c r="R7" s="45">
        <v>215155.04276434219</v>
      </c>
      <c r="S7" s="45">
        <v>917092.36076467833</v>
      </c>
    </row>
    <row r="8" spans="1:19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135664.58137732316</v>
      </c>
      <c r="J8" s="1">
        <v>105232.52176472639</v>
      </c>
      <c r="K8" s="1">
        <v>106580.17309811519</v>
      </c>
      <c r="L8" s="1">
        <v>108859.64000000001</v>
      </c>
      <c r="M8" s="1">
        <v>109128.66</v>
      </c>
      <c r="N8" s="1">
        <v>303480.56313789438</v>
      </c>
      <c r="O8" s="45">
        <v>3763883.9742811178</v>
      </c>
      <c r="P8" s="45">
        <v>1924133.4789167624</v>
      </c>
      <c r="Q8" s="45">
        <v>970804.35598629585</v>
      </c>
      <c r="R8" s="45">
        <v>347477.27624016476</v>
      </c>
      <c r="S8" s="45">
        <v>521468.86313789443</v>
      </c>
    </row>
    <row r="9" spans="1:19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70642.709536132606</v>
      </c>
      <c r="J9" s="22">
        <v>34427.341823430179</v>
      </c>
      <c r="K9" s="22">
        <v>27252.182116259792</v>
      </c>
      <c r="L9" s="22">
        <v>-73284.31911176446</v>
      </c>
      <c r="M9" s="22">
        <v>-196445.21273896503</v>
      </c>
      <c r="N9" s="22">
        <v>-125893.96577605436</v>
      </c>
      <c r="O9" s="46">
        <v>1281302.5682487616</v>
      </c>
      <c r="P9" s="46">
        <v>939313.47566389316</v>
      </c>
      <c r="Q9" s="46">
        <v>605290.35673582938</v>
      </c>
      <c r="R9" s="46">
        <v>132322.23347582258</v>
      </c>
      <c r="S9" s="46">
        <v>-395623.49762678391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5">
        <v>2077626.9999999998</v>
      </c>
      <c r="P11" s="45">
        <v>519406.75</v>
      </c>
      <c r="Q11" s="45">
        <v>519406.75</v>
      </c>
      <c r="R11" s="45">
        <v>519406.75</v>
      </c>
      <c r="S11" s="45">
        <v>519406.75</v>
      </c>
    </row>
    <row r="12" spans="1:19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134073.39000000001</v>
      </c>
      <c r="J12" s="1">
        <v>118519.33</v>
      </c>
      <c r="K12" s="1">
        <v>167019.27000000002</v>
      </c>
      <c r="L12" s="1">
        <v>117965.97</v>
      </c>
      <c r="M12" s="1">
        <v>193927.21000000002</v>
      </c>
      <c r="N12" s="1">
        <v>226921.77000000002</v>
      </c>
      <c r="O12" s="45">
        <v>1960562.4600000002</v>
      </c>
      <c r="P12" s="45">
        <v>466757.58999999997</v>
      </c>
      <c r="Q12" s="45">
        <v>535377.92999999993</v>
      </c>
      <c r="R12" s="45">
        <v>419611.99000000005</v>
      </c>
      <c r="S12" s="45">
        <v>538814.95000000007</v>
      </c>
    </row>
    <row r="13" spans="1:19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39062.193333333329</v>
      </c>
      <c r="J13" s="23">
        <v>54616.253333333341</v>
      </c>
      <c r="K13" s="23">
        <v>6116.3133333333244</v>
      </c>
      <c r="L13" s="23">
        <v>55169.613333333342</v>
      </c>
      <c r="M13" s="23">
        <v>-20791.626666666678</v>
      </c>
      <c r="N13" s="23">
        <v>-53786.186666666676</v>
      </c>
      <c r="O13" s="46">
        <v>117064.54000000004</v>
      </c>
      <c r="P13" s="47">
        <v>52649.160000000033</v>
      </c>
      <c r="Q13" s="47">
        <v>-15971.179999999935</v>
      </c>
      <c r="R13" s="47">
        <v>99794.759999999951</v>
      </c>
      <c r="S13" s="47">
        <v>-19408.20000000007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1591.1913773231499</v>
      </c>
      <c r="J15" s="1">
        <v>-13286.808235273609</v>
      </c>
      <c r="K15" s="1">
        <v>-60439.096901884826</v>
      </c>
      <c r="L15" s="1">
        <v>-9106.3299999999872</v>
      </c>
      <c r="M15" s="1">
        <v>-84798.550000000017</v>
      </c>
      <c r="N15" s="1">
        <v>76558.793137894361</v>
      </c>
      <c r="O15" s="43">
        <v>1803321.5142811176</v>
      </c>
      <c r="P15" s="43">
        <v>1457375.8889167625</v>
      </c>
      <c r="Q15" s="43">
        <v>435426.42598629592</v>
      </c>
      <c r="R15" s="43">
        <v>-72134.713759835286</v>
      </c>
      <c r="S15" s="43">
        <v>-17346.086862105643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310892.71060113027</v>
      </c>
      <c r="D17" s="57">
        <v>-137795.30891676259</v>
      </c>
      <c r="E17" s="57">
        <v>-642636.67891676258</v>
      </c>
      <c r="F17" s="57">
        <v>-897807.67160243448</v>
      </c>
      <c r="G17" s="57">
        <v>-1131326.2436415784</v>
      </c>
      <c r="H17" s="57">
        <v>-1078063.1049030584</v>
      </c>
      <c r="I17" s="57">
        <v>-1079654.2962803815</v>
      </c>
      <c r="J17" s="57">
        <v>-1066367.4880451078</v>
      </c>
      <c r="K17" s="57">
        <v>-1005928.391143223</v>
      </c>
      <c r="L17" s="57">
        <v>-996822.06114322308</v>
      </c>
      <c r="M17" s="57">
        <v>-912023.51114322303</v>
      </c>
      <c r="N17" s="57">
        <v>-988582.30428111739</v>
      </c>
      <c r="O17" s="45"/>
      <c r="P17" s="45">
        <v>-642636.67891676258</v>
      </c>
      <c r="Q17" s="45">
        <v>-1078063.1049030586</v>
      </c>
      <c r="R17" s="45">
        <v>-1005928.3911432233</v>
      </c>
      <c r="S17" s="45">
        <v>-988582.30428111763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153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1" spans="2:19">
      <c r="B21" s="49" t="s">
        <v>26</v>
      </c>
    </row>
    <row r="22" spans="2:19">
      <c r="B22" s="88" t="s">
        <v>99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9">
      <c r="B23" s="88" t="s">
        <v>104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2:19">
      <c r="B24" s="88" t="s">
        <v>107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114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2:19">
      <c r="B26" s="88" t="s">
        <v>139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9">
      <c r="B27" s="88" t="s">
        <v>152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spans="2:19">
      <c r="B28" s="88" t="s">
        <v>161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2:19">
      <c r="B29" s="88" t="s">
        <v>168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2:19">
      <c r="B30" s="88" t="s">
        <v>177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2:19">
      <c r="B31" s="88" t="s">
        <v>179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2:19">
      <c r="B32" s="88" t="s">
        <v>191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2:14">
      <c r="B33" s="88" t="s">
        <v>199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</sheetData>
  <mergeCells count="12">
    <mergeCell ref="B33:N33"/>
    <mergeCell ref="B32:N32"/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6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0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0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1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6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0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0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0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0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0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0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0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1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2"/>
    </row>
    <row r="29" spans="1:16">
      <c r="B29" s="10" t="s">
        <v>59</v>
      </c>
      <c r="O29" s="52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>
        <v>12689.5</v>
      </c>
      <c r="J30" s="18">
        <v>53771</v>
      </c>
      <c r="K30" s="18">
        <v>15661.17</v>
      </c>
      <c r="L30" s="18">
        <v>1590.25</v>
      </c>
      <c r="M30" s="18">
        <v>54859.85</v>
      </c>
      <c r="N30" s="18">
        <v>52794.03</v>
      </c>
      <c r="O30" s="50">
        <f t="shared" ref="O30:O32" si="11">SUM(C30:N30)</f>
        <v>326739.12</v>
      </c>
      <c r="P30" s="16">
        <f t="shared" ref="P30:P36" si="12">SUM(D30:O30)</f>
        <v>644381.24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>
        <v>36875.86</v>
      </c>
      <c r="J31" s="18">
        <v>21625.5</v>
      </c>
      <c r="K31" s="18">
        <v>48164.25</v>
      </c>
      <c r="L31" s="18">
        <v>47475.51</v>
      </c>
      <c r="M31" s="18">
        <v>56521.26</v>
      </c>
      <c r="N31" s="18">
        <v>90788.1</v>
      </c>
      <c r="O31" s="50">
        <f t="shared" si="11"/>
        <v>759778.29</v>
      </c>
      <c r="P31" s="16">
        <f t="shared" si="12"/>
        <v>1380036.73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>
        <v>21193.43</v>
      </c>
      <c r="J32" s="18">
        <v>4510.47</v>
      </c>
      <c r="K32" s="18">
        <v>4336.97</v>
      </c>
      <c r="L32" s="18"/>
      <c r="M32" s="18">
        <v>24320.43</v>
      </c>
      <c r="N32" s="18">
        <v>18021.43</v>
      </c>
      <c r="O32" s="50">
        <f t="shared" si="11"/>
        <v>204873.56999999998</v>
      </c>
      <c r="P32" s="16">
        <f t="shared" si="12"/>
        <v>409747.13999999996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4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4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4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4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70758.790000000008</v>
      </c>
      <c r="J37" s="19">
        <f t="shared" si="13"/>
        <v>79906.97</v>
      </c>
      <c r="K37" s="19">
        <f>SUM(K30:K36)</f>
        <v>68162.39</v>
      </c>
      <c r="L37" s="19">
        <f t="shared" si="13"/>
        <v>49065.760000000002</v>
      </c>
      <c r="M37" s="19">
        <f t="shared" si="13"/>
        <v>135701.54</v>
      </c>
      <c r="N37" s="19">
        <f t="shared" si="13"/>
        <v>161603.56</v>
      </c>
      <c r="O37" s="51">
        <f t="shared" si="13"/>
        <v>1291390.9800000002</v>
      </c>
      <c r="P37" s="19">
        <f>SUM(P30:P36)</f>
        <v>2434165.11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4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4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>
        <v>2710.1800000000003</v>
      </c>
      <c r="J40" s="18">
        <v>5094.04</v>
      </c>
      <c r="K40" s="18">
        <v>3975.4400000000005</v>
      </c>
      <c r="L40" s="18">
        <v>5996.35</v>
      </c>
      <c r="M40" s="18">
        <v>4496.13</v>
      </c>
      <c r="N40" s="18">
        <v>5613.23</v>
      </c>
      <c r="O40" s="50">
        <f t="shared" ref="O40:O47" si="14">SUM(C40:N40)</f>
        <v>56008.289999999994</v>
      </c>
      <c r="P40" s="16">
        <f t="shared" ref="P40:P47" si="15">SUM(D40:O40)</f>
        <v>108081.21999999999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>
        <v>3973.26</v>
      </c>
      <c r="J41" s="18">
        <v>4846.08</v>
      </c>
      <c r="K41" s="18">
        <v>3192.7000000000003</v>
      </c>
      <c r="L41" s="18">
        <v>8654.31</v>
      </c>
      <c r="M41" s="18">
        <v>4908.49</v>
      </c>
      <c r="N41" s="18">
        <v>9810.51</v>
      </c>
      <c r="O41" s="50">
        <f t="shared" si="14"/>
        <v>56851.54</v>
      </c>
      <c r="P41" s="16">
        <f t="shared" si="15"/>
        <v>113436.95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>
        <v>3234.63</v>
      </c>
      <c r="J42" s="18">
        <v>47.870000000000005</v>
      </c>
      <c r="K42" s="18">
        <v>2601.0700000000002</v>
      </c>
      <c r="L42" s="18">
        <v>2249.37</v>
      </c>
      <c r="M42" s="18">
        <v>989.08</v>
      </c>
      <c r="N42" s="18">
        <v>6762.27</v>
      </c>
      <c r="O42" s="50">
        <f t="shared" si="14"/>
        <v>23545.220000000005</v>
      </c>
      <c r="P42" s="16">
        <f t="shared" si="15"/>
        <v>46484.83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0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>
        <v>30674.52</v>
      </c>
      <c r="J46" s="18">
        <v>2045.8500000000001</v>
      </c>
      <c r="K46" s="18">
        <v>59736.05</v>
      </c>
      <c r="L46" s="18">
        <v>23204.170000000002</v>
      </c>
      <c r="M46" s="18">
        <v>19548.04</v>
      </c>
      <c r="N46" s="18">
        <v>15724.7</v>
      </c>
      <c r="O46" s="50">
        <f t="shared" si="14"/>
        <v>204643.19000000006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>
        <v>22722.010000000002</v>
      </c>
      <c r="J47" s="18">
        <v>26578.52</v>
      </c>
      <c r="K47" s="18">
        <v>29351.62</v>
      </c>
      <c r="L47" s="18">
        <v>28796.01</v>
      </c>
      <c r="M47" s="18">
        <v>28283.93</v>
      </c>
      <c r="N47" s="18">
        <v>27407.5</v>
      </c>
      <c r="O47" s="50">
        <f t="shared" si="14"/>
        <v>328123.24</v>
      </c>
      <c r="P47" s="16">
        <f t="shared" si="15"/>
        <v>633733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63314.6</v>
      </c>
      <c r="J48" s="19">
        <f t="shared" si="16"/>
        <v>38612.36</v>
      </c>
      <c r="K48" s="19">
        <f t="shared" si="16"/>
        <v>98856.88</v>
      </c>
      <c r="L48" s="19">
        <f t="shared" si="16"/>
        <v>68900.209999999992</v>
      </c>
      <c r="M48" s="19">
        <f t="shared" si="16"/>
        <v>58225.67</v>
      </c>
      <c r="N48" s="19">
        <f t="shared" si="16"/>
        <v>65318.210000000006</v>
      </c>
      <c r="O48" s="51">
        <f t="shared" si="16"/>
        <v>669171.48</v>
      </c>
      <c r="P48" s="19">
        <f>SUM(P40:P47)</f>
        <v>901736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4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134073.39000000001</v>
      </c>
      <c r="J50" s="21">
        <f t="shared" si="17"/>
        <v>118519.33</v>
      </c>
      <c r="K50" s="21">
        <f t="shared" si="17"/>
        <v>167019.27000000002</v>
      </c>
      <c r="L50" s="21">
        <f t="shared" si="17"/>
        <v>117965.97</v>
      </c>
      <c r="M50" s="21">
        <f t="shared" si="17"/>
        <v>193927.21000000002</v>
      </c>
      <c r="N50" s="21">
        <f t="shared" si="17"/>
        <v>226921.77000000002</v>
      </c>
      <c r="O50" s="21">
        <f t="shared" si="17"/>
        <v>1960562.4600000002</v>
      </c>
      <c r="P50" s="21" t="e">
        <f>#REF!+P48+P37</f>
        <v>#REF!</v>
      </c>
    </row>
    <row r="51" spans="1:16" ht="15.75" thickTop="1">
      <c r="B51" s="9"/>
      <c r="O51" s="52"/>
    </row>
    <row r="52" spans="1:16">
      <c r="B52" s="11" t="s">
        <v>39</v>
      </c>
      <c r="O52" s="52"/>
    </row>
    <row r="53" spans="1:16">
      <c r="B53" s="11" t="s">
        <v>60</v>
      </c>
      <c r="O53" s="52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54611.75</v>
      </c>
      <c r="J54" s="20">
        <f t="shared" si="18"/>
        <v>13530.25</v>
      </c>
      <c r="K54" s="20">
        <f t="shared" si="18"/>
        <v>51640.08</v>
      </c>
      <c r="L54" s="20">
        <f t="shared" si="18"/>
        <v>65711</v>
      </c>
      <c r="M54" s="20">
        <f t="shared" si="18"/>
        <v>12441.400000000001</v>
      </c>
      <c r="N54" s="20">
        <f t="shared" si="18"/>
        <v>14507.220000000001</v>
      </c>
      <c r="O54" s="50">
        <f t="shared" ref="O54:O60" si="19">SUM(C54:N54)</f>
        <v>480875.88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26400.639999999999</v>
      </c>
      <c r="J55" s="20">
        <f t="shared" si="20"/>
        <v>41651</v>
      </c>
      <c r="K55" s="20">
        <f t="shared" si="20"/>
        <v>15112.25</v>
      </c>
      <c r="L55" s="20">
        <f t="shared" si="20"/>
        <v>15800.989999999998</v>
      </c>
      <c r="M55" s="20">
        <f t="shared" si="20"/>
        <v>6755.239999999998</v>
      </c>
      <c r="N55" s="20">
        <f t="shared" si="20"/>
        <v>-27511.600000000006</v>
      </c>
      <c r="O55" s="50">
        <f t="shared" si="19"/>
        <v>-460.29000000000815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-75.84666666666817</v>
      </c>
      <c r="J56" s="20">
        <f t="shared" si="21"/>
        <v>16607.113333333331</v>
      </c>
      <c r="K56" s="20">
        <f t="shared" si="21"/>
        <v>16780.613333333331</v>
      </c>
      <c r="L56" s="20">
        <f t="shared" si="21"/>
        <v>21117.583333333332</v>
      </c>
      <c r="M56" s="20">
        <f t="shared" si="21"/>
        <v>-3202.8466666666682</v>
      </c>
      <c r="N56" s="20">
        <f t="shared" si="21"/>
        <v>3096.1533333333318</v>
      </c>
      <c r="O56" s="50">
        <f t="shared" si="19"/>
        <v>48537.429999999978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0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0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0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0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80936.543333333335</v>
      </c>
      <c r="J61" s="19">
        <f t="shared" si="26"/>
        <v>71788.363333333342</v>
      </c>
      <c r="K61" s="19">
        <f t="shared" si="26"/>
        <v>83532.943333333344</v>
      </c>
      <c r="L61" s="19">
        <f t="shared" si="26"/>
        <v>102629.57333333333</v>
      </c>
      <c r="M61" s="19">
        <f t="shared" si="26"/>
        <v>15993.793333333335</v>
      </c>
      <c r="N61" s="19">
        <f t="shared" si="26"/>
        <v>-9908.2266666666546</v>
      </c>
      <c r="O61" s="51">
        <f t="shared" ref="O61" si="27">SUM(O54:O60)</f>
        <v>528953.0199999999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4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0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1659.5699999999997</v>
      </c>
      <c r="J64" s="20">
        <f t="shared" si="28"/>
        <v>-724.29</v>
      </c>
      <c r="K64" s="20">
        <f t="shared" si="28"/>
        <v>394.30999999999949</v>
      </c>
      <c r="L64" s="20">
        <f t="shared" si="28"/>
        <v>-1626.6000000000004</v>
      </c>
      <c r="M64" s="20">
        <f t="shared" si="28"/>
        <v>-126.38000000000011</v>
      </c>
      <c r="N64" s="20">
        <f t="shared" si="28"/>
        <v>-1243.4799999999996</v>
      </c>
      <c r="O64" s="50">
        <f t="shared" ref="O64:O71" si="29">SUM(C64:N64)</f>
        <v>-3571.2899999999991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-3758.5933333333337</v>
      </c>
      <c r="J65" s="20">
        <f t="shared" si="30"/>
        <v>-4631.413333333333</v>
      </c>
      <c r="K65" s="20">
        <f t="shared" si="30"/>
        <v>-2978.0333333333338</v>
      </c>
      <c r="L65" s="20">
        <f t="shared" si="30"/>
        <v>-8439.6433333333334</v>
      </c>
      <c r="M65" s="20">
        <f t="shared" si="30"/>
        <v>-4693.8233333333328</v>
      </c>
      <c r="N65" s="20">
        <f t="shared" si="30"/>
        <v>-9595.8433333333342</v>
      </c>
      <c r="O65" s="50">
        <f t="shared" si="29"/>
        <v>-54275.540000000008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-66.963333333333594</v>
      </c>
      <c r="J66" s="20">
        <f t="shared" si="31"/>
        <v>3119.7966666666666</v>
      </c>
      <c r="K66" s="20">
        <f t="shared" si="31"/>
        <v>566.59666666666635</v>
      </c>
      <c r="L66" s="20">
        <f t="shared" si="31"/>
        <v>918.29666666666662</v>
      </c>
      <c r="M66" s="20">
        <f t="shared" si="31"/>
        <v>2178.5866666666666</v>
      </c>
      <c r="N66" s="20">
        <f t="shared" si="31"/>
        <v>-3594.6033333333339</v>
      </c>
      <c r="O66" s="50">
        <f t="shared" si="29"/>
        <v>14466.78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0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0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0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-25708.686666666668</v>
      </c>
      <c r="J70" s="20">
        <f t="shared" si="35"/>
        <v>2919.9833333333327</v>
      </c>
      <c r="K70" s="20">
        <f t="shared" si="35"/>
        <v>-54770.216666666667</v>
      </c>
      <c r="L70" s="20">
        <f t="shared" si="35"/>
        <v>-18238.33666666667</v>
      </c>
      <c r="M70" s="20">
        <f t="shared" si="35"/>
        <v>-14582.206666666669</v>
      </c>
      <c r="N70" s="20">
        <f t="shared" si="35"/>
        <v>-10758.866666666669</v>
      </c>
      <c r="O70" s="50">
        <f t="shared" ref="O70" si="36">SUM(C70:N70)</f>
        <v>-145053.19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-4816.3433333333342</v>
      </c>
      <c r="J71" s="20">
        <f t="shared" si="37"/>
        <v>-8672.8533333333326</v>
      </c>
      <c r="K71" s="20">
        <f t="shared" si="37"/>
        <v>-11445.953333333331</v>
      </c>
      <c r="L71" s="20">
        <f t="shared" si="37"/>
        <v>-10890.343333333331</v>
      </c>
      <c r="M71" s="20">
        <f t="shared" si="37"/>
        <v>-10378.263333333332</v>
      </c>
      <c r="N71" s="20">
        <f t="shared" si="37"/>
        <v>-9501.8333333333321</v>
      </c>
      <c r="O71" s="50">
        <f t="shared" si="29"/>
        <v>-113255.23999999998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-32691.016666666663</v>
      </c>
      <c r="J72" s="19">
        <f t="shared" si="38"/>
        <v>-7988.7766666666648</v>
      </c>
      <c r="K72" s="19">
        <f t="shared" si="38"/>
        <v>-68233.296666666662</v>
      </c>
      <c r="L72" s="19">
        <f t="shared" si="38"/>
        <v>-38276.626666666656</v>
      </c>
      <c r="M72" s="19">
        <f t="shared" si="38"/>
        <v>-27602.086666666662</v>
      </c>
      <c r="N72" s="19">
        <f t="shared" si="38"/>
        <v>-34694.626666666671</v>
      </c>
      <c r="O72" s="51">
        <f t="shared" ref="O72" si="39">SUM(O64:O71)</f>
        <v>-301688.48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4"/>
    </row>
    <row r="74" spans="1:15" ht="15.75" thickBot="1">
      <c r="B74" s="11" t="s">
        <v>40</v>
      </c>
      <c r="C74" s="36">
        <f t="shared" ref="C74:N74" si="40">C27-C50</f>
        <v>-3176.0533333333151</v>
      </c>
      <c r="D74" s="36">
        <f t="shared" si="40"/>
        <v>32293.696666666685</v>
      </c>
      <c r="E74" s="36">
        <f t="shared" si="40"/>
        <v>51081.516666666692</v>
      </c>
      <c r="F74" s="36">
        <f t="shared" si="40"/>
        <v>1930.5566666666709</v>
      </c>
      <c r="G74" s="36">
        <f t="shared" si="40"/>
        <v>74718.516666666677</v>
      </c>
      <c r="H74" s="36">
        <f t="shared" si="40"/>
        <v>-65070.253333333298</v>
      </c>
      <c r="I74" s="36">
        <f t="shared" si="40"/>
        <v>48245.526666666672</v>
      </c>
      <c r="J74" s="36">
        <f t="shared" si="40"/>
        <v>63799.586666666684</v>
      </c>
      <c r="K74" s="36">
        <f t="shared" si="40"/>
        <v>15299.646666666667</v>
      </c>
      <c r="L74" s="36">
        <f t="shared" si="40"/>
        <v>64352.946666666685</v>
      </c>
      <c r="M74" s="36">
        <f t="shared" si="40"/>
        <v>-11608.293333333335</v>
      </c>
      <c r="N74" s="36">
        <f t="shared" si="40"/>
        <v>-44602.853333333333</v>
      </c>
      <c r="O74" s="53">
        <f>O72+O61</f>
        <v>227264.53999999992</v>
      </c>
    </row>
    <row r="75" spans="1:15" ht="15.75" thickTop="1">
      <c r="B75" s="9"/>
    </row>
    <row r="76" spans="1:15"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  <c r="C80" s="60"/>
      <c r="D80" s="60"/>
      <c r="E80" s="60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2:15" ht="29.25" customHeight="1">
      <c r="B81" s="88" t="s">
        <v>97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131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132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133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138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148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157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165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170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178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200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201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'WA-Sch91 Rider Balance'!J17</f>
        <v>-3246779.3774400176</v>
      </c>
    </row>
    <row r="3" spans="1:2">
      <c r="A3" s="78"/>
    </row>
    <row r="4" spans="1:2">
      <c r="A4" s="78" t="s">
        <v>70</v>
      </c>
      <c r="B4" s="1">
        <v>5433000</v>
      </c>
    </row>
    <row r="5" spans="1:2">
      <c r="A5" s="78" t="s">
        <v>71</v>
      </c>
      <c r="B5" s="82">
        <f>SUM('WA-Sch91 Rider Balance'!K13:N13)</f>
        <v>-3137872.183333334</v>
      </c>
    </row>
    <row r="6" spans="1:2">
      <c r="A6" s="78"/>
      <c r="B6" s="1">
        <f>B5-B4</f>
        <v>-8570872.1833333336</v>
      </c>
    </row>
    <row r="8" spans="1:2">
      <c r="A8" s="78" t="s">
        <v>72</v>
      </c>
      <c r="B8" s="3">
        <f>B2+B6</f>
        <v>-11817651.56077335</v>
      </c>
    </row>
    <row r="10" spans="1:2">
      <c r="A10" s="78" t="s">
        <v>73</v>
      </c>
      <c r="B10" s="1">
        <v>16735000</v>
      </c>
    </row>
    <row r="11" spans="1:2">
      <c r="A11" t="s">
        <v>74</v>
      </c>
      <c r="B11" s="83"/>
    </row>
    <row r="12" spans="1:2">
      <c r="B12" s="3">
        <f>B11-B10</f>
        <v>-16735000</v>
      </c>
    </row>
    <row r="14" spans="1:2">
      <c r="A14" t="s">
        <v>75</v>
      </c>
      <c r="B14" s="3">
        <f>B8+B12</f>
        <v>-28552651.56077335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4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38" bestFit="1" customWidth="1"/>
    <col min="2" max="2" width="34.85546875" style="38" customWidth="1"/>
    <col min="3" max="3" width="13.7109375" style="38" bestFit="1" customWidth="1"/>
    <col min="4" max="14" width="13.28515625" style="38" bestFit="1" customWidth="1"/>
    <col min="15" max="15" width="12.28515625" style="38" bestFit="1" customWidth="1"/>
    <col min="16" max="16" width="11.5703125" style="38" bestFit="1" customWidth="1"/>
    <col min="17" max="19" width="11.28515625" style="38" bestFit="1" customWidth="1"/>
    <col min="20" max="32" width="11.7109375" style="38" hidden="1" customWidth="1"/>
    <col min="33" max="47" width="11.7109375" style="38" customWidth="1"/>
    <col min="48" max="16384" width="9.140625" style="38"/>
  </cols>
  <sheetData>
    <row r="2" spans="1:32">
      <c r="B2" s="39" t="s">
        <v>12</v>
      </c>
    </row>
    <row r="3" spans="1:32">
      <c r="B3" s="38" t="s">
        <v>30</v>
      </c>
      <c r="C3" s="40">
        <v>2011</v>
      </c>
      <c r="D3" s="40">
        <v>2011</v>
      </c>
      <c r="E3" s="40">
        <v>2011</v>
      </c>
      <c r="F3" s="40">
        <v>2011</v>
      </c>
      <c r="G3" s="40">
        <v>2011</v>
      </c>
      <c r="H3" s="40">
        <v>2011</v>
      </c>
      <c r="I3" s="40">
        <v>2011</v>
      </c>
      <c r="J3" s="40">
        <v>2011</v>
      </c>
      <c r="K3" s="40">
        <v>2011</v>
      </c>
      <c r="L3" s="40">
        <v>2011</v>
      </c>
      <c r="M3" s="40">
        <v>2011</v>
      </c>
      <c r="N3" s="40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  <c r="T3" s="38">
        <v>2011</v>
      </c>
      <c r="U3" s="38">
        <v>2011</v>
      </c>
      <c r="V3" s="38">
        <v>2011</v>
      </c>
      <c r="W3" s="38">
        <v>2011</v>
      </c>
      <c r="X3" s="38">
        <v>2011</v>
      </c>
      <c r="Y3" s="38">
        <v>2011</v>
      </c>
      <c r="Z3" s="38">
        <v>2011</v>
      </c>
      <c r="AA3" s="38">
        <v>2011</v>
      </c>
      <c r="AB3" s="38">
        <v>2011</v>
      </c>
      <c r="AC3" s="38">
        <v>2011</v>
      </c>
      <c r="AD3" s="38">
        <v>2011</v>
      </c>
      <c r="AE3" s="38">
        <v>2011</v>
      </c>
      <c r="AF3" s="40" t="s">
        <v>29</v>
      </c>
    </row>
    <row r="4" spans="1:32">
      <c r="C4" s="40" t="s">
        <v>0</v>
      </c>
      <c r="D4" s="40" t="s">
        <v>1</v>
      </c>
      <c r="E4" s="40" t="s">
        <v>2</v>
      </c>
      <c r="F4" s="40" t="s">
        <v>3</v>
      </c>
      <c r="G4" s="40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 t="s">
        <v>9</v>
      </c>
      <c r="M4" s="40" t="s">
        <v>10</v>
      </c>
      <c r="N4" s="40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  <c r="T4" s="38" t="s">
        <v>0</v>
      </c>
      <c r="U4" s="38" t="s">
        <v>1</v>
      </c>
      <c r="V4" s="38" t="s">
        <v>2</v>
      </c>
      <c r="W4" s="38" t="s">
        <v>3</v>
      </c>
      <c r="X4" s="38" t="s">
        <v>4</v>
      </c>
      <c r="Y4" s="38" t="s">
        <v>5</v>
      </c>
      <c r="Z4" s="38" t="s">
        <v>6</v>
      </c>
      <c r="AA4" s="38" t="s">
        <v>7</v>
      </c>
      <c r="AB4" s="38" t="s">
        <v>8</v>
      </c>
      <c r="AC4" s="38" t="s">
        <v>9</v>
      </c>
      <c r="AD4" s="38" t="s">
        <v>10</v>
      </c>
      <c r="AE4" s="38" t="s">
        <v>11</v>
      </c>
    </row>
    <row r="5" spans="1:32">
      <c r="A5" s="38" t="s">
        <v>22</v>
      </c>
      <c r="B5" s="38" t="s">
        <v>13</v>
      </c>
      <c r="C5" s="41">
        <v>-823050.81</v>
      </c>
      <c r="D5" s="41">
        <v>-815607.58079015673</v>
      </c>
      <c r="E5" s="41">
        <v>-1754369.121060766</v>
      </c>
      <c r="F5" s="41">
        <v>-2203799.4610607661</v>
      </c>
      <c r="G5" s="41">
        <v>-2518317.8490328575</v>
      </c>
      <c r="H5" s="41">
        <v>-3480254.9387434502</v>
      </c>
      <c r="I5" s="41">
        <v>-3160978.0498001296</v>
      </c>
      <c r="J5" s="41">
        <v>-3535245.8363094539</v>
      </c>
      <c r="K5" s="41">
        <v>-3246779.3774400176</v>
      </c>
      <c r="L5" s="41">
        <v>-1951779.7483827954</v>
      </c>
      <c r="M5" s="41">
        <v>-1017890.2028150058</v>
      </c>
      <c r="N5" s="41">
        <v>-857024.31641274225</v>
      </c>
      <c r="P5" s="42">
        <v>-823050.81</v>
      </c>
      <c r="Q5" s="45">
        <v>-2203799.4610607657</v>
      </c>
      <c r="R5" s="45">
        <v>-3160978.0498001291</v>
      </c>
      <c r="S5" s="45">
        <v>-1951779.7483827951</v>
      </c>
    </row>
    <row r="6" spans="1:32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32">
      <c r="B7" s="38" t="s">
        <v>14</v>
      </c>
      <c r="C7" s="44">
        <v>1738493.1079273054</v>
      </c>
      <c r="D7" s="44">
        <v>1558222.5118301671</v>
      </c>
      <c r="E7" s="44">
        <v>1460105.3914799262</v>
      </c>
      <c r="F7" s="44">
        <v>1235296.8394850942</v>
      </c>
      <c r="G7" s="44">
        <v>1265114.5475734838</v>
      </c>
      <c r="H7" s="44">
        <v>1281951.6614913556</v>
      </c>
      <c r="I7" s="44">
        <v>1398098.541419263</v>
      </c>
      <c r="J7" s="44">
        <v>1441661.5086758845</v>
      </c>
      <c r="K7" s="44">
        <v>1342411.8521849632</v>
      </c>
      <c r="L7" s="44">
        <v>1373772.9692104692</v>
      </c>
      <c r="M7" s="44">
        <v>1448813.5812285233</v>
      </c>
      <c r="N7" s="44">
        <v>1627888.0756961908</v>
      </c>
      <c r="O7" s="45">
        <v>17171830.588202622</v>
      </c>
      <c r="P7" s="45">
        <v>4756821.0112373987</v>
      </c>
      <c r="Q7" s="45">
        <v>3782363.0485499334</v>
      </c>
      <c r="R7" s="45">
        <v>4182171.9022801109</v>
      </c>
      <c r="S7" s="45">
        <v>4450474.6261351835</v>
      </c>
    </row>
    <row r="8" spans="1:32">
      <c r="A8" s="38" t="s">
        <v>21</v>
      </c>
      <c r="B8" s="38" t="s">
        <v>15</v>
      </c>
      <c r="C8" s="43">
        <v>1668793.4707901566</v>
      </c>
      <c r="D8" s="43">
        <v>1560912.3302706094</v>
      </c>
      <c r="E8" s="43">
        <v>1479583.45</v>
      </c>
      <c r="F8" s="43">
        <v>1388053.9079720911</v>
      </c>
      <c r="G8" s="43">
        <v>1590082.7397105929</v>
      </c>
      <c r="H8" s="43">
        <v>1302436.8410566796</v>
      </c>
      <c r="I8" s="43">
        <v>1251616.6665093245</v>
      </c>
      <c r="J8" s="43">
        <v>1351500.3011305637</v>
      </c>
      <c r="K8" s="43">
        <v>1411347.8409427775</v>
      </c>
      <c r="L8" s="43">
        <v>1352384.6944322106</v>
      </c>
      <c r="M8" s="43">
        <v>1350782.2335977366</v>
      </c>
      <c r="N8" s="43">
        <v>1606846.5943093125</v>
      </c>
      <c r="O8" s="45">
        <v>17314341.070722055</v>
      </c>
      <c r="P8" s="45">
        <v>4709289.2510607662</v>
      </c>
      <c r="Q8" s="45">
        <v>4280573.4887393638</v>
      </c>
      <c r="R8" s="45">
        <v>4014464.8085826654</v>
      </c>
      <c r="S8" s="45">
        <v>4310013.5223392593</v>
      </c>
    </row>
    <row r="9" spans="1:32">
      <c r="B9" s="38" t="s">
        <v>16</v>
      </c>
      <c r="C9" s="46">
        <v>-69699.637137148762</v>
      </c>
      <c r="D9" s="46">
        <v>2689.8184404422063</v>
      </c>
      <c r="E9" s="46">
        <v>19478.05852007377</v>
      </c>
      <c r="F9" s="46">
        <v>152757.06848699693</v>
      </c>
      <c r="G9" s="46">
        <v>324968.19213710912</v>
      </c>
      <c r="H9" s="46">
        <v>20485.179565323982</v>
      </c>
      <c r="I9" s="46">
        <v>-146481.87490993855</v>
      </c>
      <c r="J9" s="46">
        <v>-90161.207545320736</v>
      </c>
      <c r="K9" s="46">
        <v>68935.988757814281</v>
      </c>
      <c r="L9" s="46">
        <v>-21388.274778258521</v>
      </c>
      <c r="M9" s="46">
        <v>-98031.347630786709</v>
      </c>
      <c r="N9" s="46">
        <v>-21041.481386878295</v>
      </c>
      <c r="O9" s="46">
        <v>142510.48251942871</v>
      </c>
      <c r="P9" s="46">
        <v>-47531.760176632553</v>
      </c>
      <c r="Q9" s="46">
        <v>498210.44018943049</v>
      </c>
      <c r="R9" s="46">
        <v>-167707.09369744547</v>
      </c>
      <c r="S9" s="46">
        <v>-140461.10379592422</v>
      </c>
    </row>
    <row r="10" spans="1:32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32">
      <c r="B11" s="38" t="s">
        <v>18</v>
      </c>
      <c r="C11" s="43">
        <v>1256556.6666666665</v>
      </c>
      <c r="D11" s="43">
        <v>1256556.6666666665</v>
      </c>
      <c r="E11" s="43">
        <v>1256556.6666666665</v>
      </c>
      <c r="F11" s="43">
        <v>1256556.6666666665</v>
      </c>
      <c r="G11" s="43">
        <v>1256556.6666666665</v>
      </c>
      <c r="H11" s="43">
        <v>1256556.6666666665</v>
      </c>
      <c r="I11" s="43">
        <v>1256556.6666666665</v>
      </c>
      <c r="J11" s="43">
        <v>1256556.6666666665</v>
      </c>
      <c r="K11" s="43">
        <v>1256556.6666666665</v>
      </c>
      <c r="L11" s="43">
        <v>1256556.6666666665</v>
      </c>
      <c r="M11" s="43">
        <v>1256556.6666666665</v>
      </c>
      <c r="N11" s="43">
        <v>1256556.6666666665</v>
      </c>
      <c r="O11" s="45">
        <v>15078679.999999994</v>
      </c>
      <c r="P11" s="45">
        <v>3769669.9999999995</v>
      </c>
      <c r="Q11" s="45">
        <v>3769669.9999999995</v>
      </c>
      <c r="R11" s="45">
        <v>3769669.9999999995</v>
      </c>
      <c r="S11" s="45">
        <v>3769669.9999999995</v>
      </c>
    </row>
    <row r="12" spans="1:32">
      <c r="A12" s="38" t="s">
        <v>20</v>
      </c>
      <c r="B12" s="38" t="s">
        <v>17</v>
      </c>
      <c r="C12" s="43">
        <v>1676236.7</v>
      </c>
      <c r="D12" s="43">
        <v>622150.79</v>
      </c>
      <c r="E12" s="43">
        <v>1030153.1100000001</v>
      </c>
      <c r="F12" s="43">
        <v>1073535.52</v>
      </c>
      <c r="G12" s="43">
        <v>628145.65</v>
      </c>
      <c r="H12" s="43">
        <v>1621713.7300000002</v>
      </c>
      <c r="I12" s="43">
        <v>877348.88000000012</v>
      </c>
      <c r="J12" s="43">
        <v>1639966.76</v>
      </c>
      <c r="K12" s="43">
        <v>2706347.4699999997</v>
      </c>
      <c r="L12" s="43">
        <v>2286274.2400000002</v>
      </c>
      <c r="M12" s="43">
        <v>1511648.12</v>
      </c>
      <c r="N12" s="43">
        <v>1659829.02</v>
      </c>
      <c r="O12" s="45">
        <v>17333349.990000002</v>
      </c>
      <c r="P12" s="45">
        <v>3328540.6000000006</v>
      </c>
      <c r="Q12" s="45">
        <v>3323394.9000000004</v>
      </c>
      <c r="R12" s="45">
        <v>5223663.1099999994</v>
      </c>
      <c r="S12" s="45">
        <v>5457751.3800000008</v>
      </c>
    </row>
    <row r="13" spans="1:32">
      <c r="B13" s="38" t="s">
        <v>19</v>
      </c>
      <c r="C13" s="47">
        <v>-419680.03333333344</v>
      </c>
      <c r="D13" s="47">
        <v>634405.87666666647</v>
      </c>
      <c r="E13" s="47">
        <v>226403.55666666641</v>
      </c>
      <c r="F13" s="47">
        <v>183021.14666666649</v>
      </c>
      <c r="G13" s="47">
        <v>628411.01666666649</v>
      </c>
      <c r="H13" s="47">
        <v>-365157.0633333337</v>
      </c>
      <c r="I13" s="47">
        <v>379207.78666666639</v>
      </c>
      <c r="J13" s="47">
        <v>-383410.0933333335</v>
      </c>
      <c r="K13" s="47">
        <v>-1449790.8033333332</v>
      </c>
      <c r="L13" s="47">
        <v>-1029717.5733333337</v>
      </c>
      <c r="M13" s="47">
        <v>-255091.4533333336</v>
      </c>
      <c r="N13" s="47">
        <v>-403272.35333333351</v>
      </c>
      <c r="O13" s="46">
        <v>-2254669.9900000021</v>
      </c>
      <c r="P13" s="47">
        <v>441129.39999999898</v>
      </c>
      <c r="Q13" s="47">
        <v>446275.09999999916</v>
      </c>
      <c r="R13" s="47">
        <v>-1453993.1099999999</v>
      </c>
      <c r="S13" s="47">
        <v>-1688081.3800000013</v>
      </c>
    </row>
    <row r="14" spans="1:32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32" ht="30">
      <c r="A15" s="38" t="s">
        <v>24</v>
      </c>
      <c r="B15" s="48" t="s">
        <v>23</v>
      </c>
      <c r="C15" s="43">
        <v>-7443.2292098433245</v>
      </c>
      <c r="D15" s="43">
        <v>938761.54027060932</v>
      </c>
      <c r="E15" s="43">
        <v>449430.33999999985</v>
      </c>
      <c r="F15" s="43">
        <v>314518.38797209109</v>
      </c>
      <c r="G15" s="43">
        <v>961937.08971059287</v>
      </c>
      <c r="H15" s="43">
        <v>-319276.88894332061</v>
      </c>
      <c r="I15" s="43">
        <v>374267.78650932433</v>
      </c>
      <c r="J15" s="43">
        <v>-288466.45886943629</v>
      </c>
      <c r="K15" s="43">
        <v>-1294999.6290572223</v>
      </c>
      <c r="L15" s="43">
        <v>-933889.54556778958</v>
      </c>
      <c r="M15" s="43">
        <v>-160865.88640226354</v>
      </c>
      <c r="N15" s="43">
        <v>-52982.425690687494</v>
      </c>
      <c r="O15" s="43">
        <v>-19008.919277947396</v>
      </c>
      <c r="P15" s="43">
        <v>1380748.6510607656</v>
      </c>
      <c r="Q15" s="43">
        <v>957178.58873936348</v>
      </c>
      <c r="R15" s="43">
        <v>-1209198.301417334</v>
      </c>
      <c r="S15" s="43">
        <v>-1147737.8576607415</v>
      </c>
    </row>
    <row r="16" spans="1:32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9" ht="15.75" thickBot="1">
      <c r="B17" s="38" t="s">
        <v>25</v>
      </c>
      <c r="C17" s="58">
        <v>-815607.58079015673</v>
      </c>
      <c r="D17" s="58">
        <v>-1754369.121060766</v>
      </c>
      <c r="E17" s="58">
        <v>-2203799.4610607661</v>
      </c>
      <c r="F17" s="58">
        <v>-2518317.8490328575</v>
      </c>
      <c r="G17" s="58">
        <v>-3480254.9387434502</v>
      </c>
      <c r="H17" s="58">
        <v>-3160978.0498001296</v>
      </c>
      <c r="I17" s="58">
        <v>-3535245.8363094539</v>
      </c>
      <c r="J17" s="58">
        <v>-3246779.3774400176</v>
      </c>
      <c r="K17" s="58">
        <v>-1951779.7483827954</v>
      </c>
      <c r="L17" s="58">
        <v>-1017890.2028150058</v>
      </c>
      <c r="M17" s="58">
        <v>-857024.31641274225</v>
      </c>
      <c r="N17" s="58">
        <v>-804041.89072205476</v>
      </c>
      <c r="O17" s="45"/>
      <c r="P17" s="45">
        <v>-2203799.4610607657</v>
      </c>
      <c r="Q17" s="45">
        <v>-3160978.0498001291</v>
      </c>
      <c r="R17" s="45">
        <v>-1951779.7483827951</v>
      </c>
      <c r="S17" s="45">
        <v>-804041.89072205359</v>
      </c>
    </row>
    <row r="18" spans="2:19" ht="15.75" thickTop="1"/>
    <row r="19" spans="2:19">
      <c r="B19" s="38" t="s">
        <v>28</v>
      </c>
      <c r="D19" s="42" t="s">
        <v>53</v>
      </c>
      <c r="E19" s="42" t="s">
        <v>53</v>
      </c>
      <c r="F19" s="42" t="s">
        <v>53</v>
      </c>
      <c r="G19" s="42" t="s">
        <v>53</v>
      </c>
      <c r="H19" s="42" t="s">
        <v>53</v>
      </c>
      <c r="I19" s="42" t="s">
        <v>53</v>
      </c>
      <c r="J19" s="42" t="s">
        <v>53</v>
      </c>
      <c r="K19" s="42" t="s">
        <v>53</v>
      </c>
      <c r="L19" s="42" t="s">
        <v>53</v>
      </c>
      <c r="M19" s="42" t="s">
        <v>53</v>
      </c>
      <c r="N19" s="42" t="s">
        <v>53</v>
      </c>
      <c r="P19" s="45"/>
    </row>
    <row r="20" spans="2:19"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2" spans="2:19">
      <c r="B22" s="49" t="s">
        <v>26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2:19">
      <c r="B23" s="88" t="s">
        <v>98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108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111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140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150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7" t="s">
        <v>158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9">
      <c r="B30" s="87" t="s">
        <v>166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2:19">
      <c r="B31" s="87" t="s">
        <v>174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9">
      <c r="B32" s="87" t="s">
        <v>185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>
      <c r="B33" s="87" t="s">
        <v>188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>
      <c r="B34" s="87" t="s">
        <v>192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</sheetData>
  <mergeCells count="12">
    <mergeCell ref="B34:N34"/>
    <mergeCell ref="B28:O28"/>
    <mergeCell ref="B23:O23"/>
    <mergeCell ref="B24:O24"/>
    <mergeCell ref="B25:O25"/>
    <mergeCell ref="B26:O26"/>
    <mergeCell ref="B27:O27"/>
    <mergeCell ref="B33:N33"/>
    <mergeCell ref="B32:N32"/>
    <mergeCell ref="B31:N31"/>
    <mergeCell ref="B30:N30"/>
    <mergeCell ref="B29:N29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2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3" width="10.42578125" style="13" bestFit="1" customWidth="1"/>
    <col min="14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>
        <v>43302.83</v>
      </c>
      <c r="J30" s="18">
        <v>434542.02</v>
      </c>
      <c r="K30" s="18">
        <v>522090.08</v>
      </c>
      <c r="L30" s="18">
        <v>310103.08</v>
      </c>
      <c r="M30" s="18">
        <v>557875.42000000004</v>
      </c>
      <c r="N30" s="18">
        <v>492121.34</v>
      </c>
      <c r="O30" s="16">
        <f t="shared" ref="O30:O36" si="12">SUM(C30:N30)</f>
        <v>5923097.3700000001</v>
      </c>
      <c r="P30" s="16">
        <f t="shared" ref="P30:P36" si="13">SUM(D30:O30)</f>
        <v>10634659.530000001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>
        <v>101227.07</v>
      </c>
      <c r="J31" s="18">
        <v>35687.519999999997</v>
      </c>
      <c r="K31" s="18">
        <v>574347.41</v>
      </c>
      <c r="L31" s="18">
        <v>997180.1</v>
      </c>
      <c r="M31" s="18">
        <v>1439206.6</v>
      </c>
      <c r="N31" s="18">
        <v>143341.76000000001</v>
      </c>
      <c r="O31" s="16">
        <f t="shared" si="12"/>
        <v>4200825.58</v>
      </c>
      <c r="P31" s="16">
        <f t="shared" si="13"/>
        <v>8177570.4700000007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>
        <v>22810.09</v>
      </c>
      <c r="J32" s="18">
        <v>89427.95</v>
      </c>
      <c r="K32" s="18">
        <v>61229.94</v>
      </c>
      <c r="L32" s="18">
        <v>3033.07</v>
      </c>
      <c r="M32" s="18">
        <v>208996.72</v>
      </c>
      <c r="N32" s="18">
        <v>426380.65</v>
      </c>
      <c r="O32" s="16">
        <f t="shared" si="12"/>
        <v>1185877.3700000001</v>
      </c>
      <c r="P32" s="16">
        <f t="shared" si="13"/>
        <v>2371754.7400000002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167339.99000000002</v>
      </c>
      <c r="J37" s="19">
        <f t="shared" si="15"/>
        <v>559657.49</v>
      </c>
      <c r="K37" s="19">
        <f t="shared" si="15"/>
        <v>1157667.43</v>
      </c>
      <c r="L37" s="19">
        <f t="shared" si="15"/>
        <v>1310316.25</v>
      </c>
      <c r="M37" s="19">
        <f t="shared" si="15"/>
        <v>2206078.7400000002</v>
      </c>
      <c r="N37" s="19">
        <f t="shared" si="15"/>
        <v>1061843.75</v>
      </c>
      <c r="O37" s="19">
        <f t="shared" ref="O37" si="16">SUM(O30:O36)</f>
        <v>11309800.32</v>
      </c>
      <c r="P37" s="19">
        <f>SUM(P30:P36)</f>
        <v>21183984.740000002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>
        <v>23975.31</v>
      </c>
      <c r="J40" s="18">
        <v>24566.6</v>
      </c>
      <c r="K40" s="18">
        <v>83760.78</v>
      </c>
      <c r="L40" s="18">
        <v>64083.74</v>
      </c>
      <c r="M40" s="18">
        <v>57662.65</v>
      </c>
      <c r="N40" s="18">
        <v>79491.929999999993</v>
      </c>
      <c r="O40" s="16">
        <f t="shared" ref="O40:O47" si="17">SUM(C40:N40)</f>
        <v>597521.97</v>
      </c>
      <c r="P40" s="16">
        <f t="shared" ref="P40:P47" si="18">SUM(D40:O40)</f>
        <v>1087514.56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>
        <v>318629.78000000003</v>
      </c>
      <c r="J41" s="18">
        <v>932431.28</v>
      </c>
      <c r="K41" s="18">
        <v>1157741.1500000001</v>
      </c>
      <c r="L41" s="18">
        <v>257133.30999999997</v>
      </c>
      <c r="M41" s="18">
        <v>-916641.90000000014</v>
      </c>
      <c r="N41" s="18">
        <v>261876.36000000002</v>
      </c>
      <c r="O41" s="16">
        <f t="shared" si="17"/>
        <v>2278659.7800000003</v>
      </c>
      <c r="P41" s="16">
        <f t="shared" si="18"/>
        <v>4547850.91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>
        <v>1455.2</v>
      </c>
      <c r="J42" s="18">
        <v>383.21000000000004</v>
      </c>
      <c r="K42" s="18">
        <v>2585.94</v>
      </c>
      <c r="L42" s="18">
        <v>1917.43</v>
      </c>
      <c r="M42" s="18">
        <v>2949.51</v>
      </c>
      <c r="N42" s="18">
        <v>1652.8</v>
      </c>
      <c r="O42" s="16">
        <f t="shared" si="17"/>
        <v>26213.01</v>
      </c>
      <c r="P42" s="16">
        <f t="shared" si="18"/>
        <v>49554.58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>
        <v>225033.16</v>
      </c>
      <c r="J45" s="18">
        <v>11.47</v>
      </c>
      <c r="K45" s="18">
        <v>62641.740000000005</v>
      </c>
      <c r="L45" s="18">
        <v>397578.98</v>
      </c>
      <c r="M45" s="18"/>
      <c r="N45" s="18">
        <v>15.63</v>
      </c>
      <c r="O45" s="16">
        <f t="shared" si="17"/>
        <v>1000602.38</v>
      </c>
      <c r="P45" s="16">
        <f t="shared" si="18"/>
        <v>1999196.2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>
        <v>45092.74</v>
      </c>
      <c r="J46" s="18">
        <v>14118.91</v>
      </c>
      <c r="K46" s="18">
        <v>132355</v>
      </c>
      <c r="L46" s="18">
        <v>132158.39000000001</v>
      </c>
      <c r="M46" s="18">
        <v>51085.15</v>
      </c>
      <c r="N46" s="18">
        <v>127157.24</v>
      </c>
      <c r="O46" s="16">
        <f t="shared" ref="O46" si="19">SUM(C46:N46)</f>
        <v>784124.92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>
        <v>95822.700000000012</v>
      </c>
      <c r="J47" s="18">
        <v>108797.79999999999</v>
      </c>
      <c r="K47" s="18">
        <v>109595.43</v>
      </c>
      <c r="L47" s="18">
        <v>123086.14</v>
      </c>
      <c r="M47" s="18">
        <v>110513.96999999999</v>
      </c>
      <c r="N47" s="18">
        <v>127791.31000000001</v>
      </c>
      <c r="O47" s="16">
        <f t="shared" si="17"/>
        <v>1336427.6099999999</v>
      </c>
      <c r="P47" s="16">
        <f t="shared" si="18"/>
        <v>2587522.9699999997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710008.89000000013</v>
      </c>
      <c r="J48" s="19">
        <f t="shared" si="21"/>
        <v>1080309.27</v>
      </c>
      <c r="K48" s="19">
        <f t="shared" si="21"/>
        <v>1548680.04</v>
      </c>
      <c r="L48" s="19">
        <f t="shared" si="21"/>
        <v>975957.99</v>
      </c>
      <c r="M48" s="19">
        <f t="shared" si="21"/>
        <v>-694430.62000000011</v>
      </c>
      <c r="N48" s="19">
        <f t="shared" si="21"/>
        <v>597985.27</v>
      </c>
      <c r="O48" s="19">
        <f t="shared" si="21"/>
        <v>6023549.6699999999</v>
      </c>
      <c r="P48" s="19">
        <f>SUM(P40:P47)</f>
        <v>10271639.220000001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877348.88000000012</v>
      </c>
      <c r="J50" s="21">
        <f t="shared" si="22"/>
        <v>1639966.76</v>
      </c>
      <c r="K50" s="21">
        <f t="shared" si="22"/>
        <v>2706347.4699999997</v>
      </c>
      <c r="L50" s="21">
        <f t="shared" si="22"/>
        <v>2286274.2400000002</v>
      </c>
      <c r="M50" s="21">
        <f t="shared" si="22"/>
        <v>1511648.12</v>
      </c>
      <c r="N50" s="21">
        <f t="shared" si="22"/>
        <v>1659829.02</v>
      </c>
      <c r="O50" s="21">
        <f t="shared" si="22"/>
        <v>17333349.990000002</v>
      </c>
      <c r="P50" s="21" t="e">
        <f>#REF!+P48+P37</f>
        <v>#REF!</v>
      </c>
    </row>
    <row r="51" spans="1:16" ht="15.75" thickTop="1">
      <c r="B51" s="9"/>
    </row>
    <row r="52" spans="1:16">
      <c r="B52" s="39" t="s">
        <v>39</v>
      </c>
    </row>
    <row r="53" spans="1:16">
      <c r="B53" s="39" t="s">
        <v>60</v>
      </c>
    </row>
    <row r="54" spans="1:16">
      <c r="B54" s="38" t="s">
        <v>31</v>
      </c>
      <c r="C54" s="34">
        <f t="shared" ref="C54:N54" si="23">C7-C30</f>
        <v>-731061.96</v>
      </c>
      <c r="D54" s="34">
        <f t="shared" si="23"/>
        <v>219508.15</v>
      </c>
      <c r="E54" s="34">
        <f t="shared" si="23"/>
        <v>38640.839999999967</v>
      </c>
      <c r="F54" s="34">
        <f t="shared" si="23"/>
        <v>108582.43</v>
      </c>
      <c r="G54" s="34">
        <f t="shared" si="23"/>
        <v>260684.29</v>
      </c>
      <c r="H54" s="34">
        <f t="shared" si="23"/>
        <v>-576576.85000000009</v>
      </c>
      <c r="I54" s="34">
        <f t="shared" si="23"/>
        <v>437170.42</v>
      </c>
      <c r="J54" s="34">
        <f t="shared" si="23"/>
        <v>45931.229999999981</v>
      </c>
      <c r="K54" s="34">
        <f t="shared" si="23"/>
        <v>-41616.830000000016</v>
      </c>
      <c r="L54" s="34">
        <f t="shared" si="23"/>
        <v>170370.16999999998</v>
      </c>
      <c r="M54" s="34">
        <f t="shared" si="23"/>
        <v>-77402.170000000042</v>
      </c>
      <c r="N54" s="34">
        <f t="shared" si="23"/>
        <v>-11648.090000000026</v>
      </c>
      <c r="O54" s="16">
        <f t="shared" ref="O54:O60" si="24">SUM(C54:N54)</f>
        <v>-157418.37000000023</v>
      </c>
    </row>
    <row r="55" spans="1:16">
      <c r="B55" s="38" t="s">
        <v>32</v>
      </c>
      <c r="C55" s="34">
        <f t="shared" ref="C55:N55" si="25">C8-C31</f>
        <v>-80870.606666666659</v>
      </c>
      <c r="D55" s="34">
        <f t="shared" si="25"/>
        <v>-39095.736666666664</v>
      </c>
      <c r="E55" s="34">
        <f t="shared" si="25"/>
        <v>12560.843333333338</v>
      </c>
      <c r="F55" s="34">
        <f t="shared" si="25"/>
        <v>20078.593333333352</v>
      </c>
      <c r="G55" s="34">
        <f t="shared" si="25"/>
        <v>16812.023333333345</v>
      </c>
      <c r="H55" s="34">
        <f t="shared" si="25"/>
        <v>19940.263333333336</v>
      </c>
      <c r="I55" s="34">
        <f t="shared" si="25"/>
        <v>41983.013333333336</v>
      </c>
      <c r="J55" s="34">
        <f t="shared" si="25"/>
        <v>107522.56333333335</v>
      </c>
      <c r="K55" s="34">
        <f t="shared" si="25"/>
        <v>-431137.32666666666</v>
      </c>
      <c r="L55" s="34">
        <f t="shared" si="25"/>
        <v>-853970.0166666666</v>
      </c>
      <c r="M55" s="34">
        <f t="shared" si="25"/>
        <v>-1295996.5166666668</v>
      </c>
      <c r="N55" s="34">
        <f t="shared" si="25"/>
        <v>-131.67666666666628</v>
      </c>
      <c r="O55" s="16">
        <f t="shared" si="24"/>
        <v>-2482304.58</v>
      </c>
    </row>
    <row r="56" spans="1:16">
      <c r="B56" s="38" t="s">
        <v>76</v>
      </c>
      <c r="C56" s="34">
        <f t="shared" ref="C56:N56" si="26">C9-C32</f>
        <v>84597.416666666672</v>
      </c>
      <c r="D56" s="34">
        <f t="shared" si="26"/>
        <v>84597.416666666672</v>
      </c>
      <c r="E56" s="34">
        <f t="shared" si="26"/>
        <v>-73368.113333333327</v>
      </c>
      <c r="F56" s="34">
        <f t="shared" si="26"/>
        <v>84597.416666666672</v>
      </c>
      <c r="G56" s="34">
        <f t="shared" si="26"/>
        <v>-11237.393333333326</v>
      </c>
      <c r="H56" s="34">
        <f t="shared" si="26"/>
        <v>-35601.193333333329</v>
      </c>
      <c r="I56" s="34">
        <f t="shared" si="26"/>
        <v>61787.326666666675</v>
      </c>
      <c r="J56" s="34">
        <f t="shared" si="26"/>
        <v>-4830.5333333333256</v>
      </c>
      <c r="K56" s="34">
        <f t="shared" si="26"/>
        <v>23367.476666666669</v>
      </c>
      <c r="L56" s="34">
        <f t="shared" si="26"/>
        <v>81564.346666666665</v>
      </c>
      <c r="M56" s="34">
        <f t="shared" si="26"/>
        <v>-124399.30333333333</v>
      </c>
      <c r="N56" s="34">
        <f t="shared" si="26"/>
        <v>-341783.23333333334</v>
      </c>
      <c r="O56" s="16">
        <f t="shared" si="24"/>
        <v>-170708.36999999994</v>
      </c>
    </row>
    <row r="57" spans="1:16" hidden="1">
      <c r="B57" s="38" t="s">
        <v>33</v>
      </c>
      <c r="C57" s="34">
        <f t="shared" ref="C57:N57" si="27">C10-C33</f>
        <v>0</v>
      </c>
      <c r="D57" s="34">
        <f t="shared" si="27"/>
        <v>0</v>
      </c>
      <c r="E57" s="34">
        <f t="shared" si="27"/>
        <v>0</v>
      </c>
      <c r="F57" s="34">
        <f t="shared" si="27"/>
        <v>0</v>
      </c>
      <c r="G57" s="34">
        <f t="shared" si="27"/>
        <v>0</v>
      </c>
      <c r="H57" s="34">
        <f t="shared" si="27"/>
        <v>0</v>
      </c>
      <c r="I57" s="34">
        <f t="shared" si="27"/>
        <v>0</v>
      </c>
      <c r="J57" s="34">
        <f t="shared" si="27"/>
        <v>0</v>
      </c>
      <c r="K57" s="34">
        <f t="shared" si="27"/>
        <v>0</v>
      </c>
      <c r="L57" s="34">
        <f t="shared" si="27"/>
        <v>0</v>
      </c>
      <c r="M57" s="34">
        <f t="shared" si="27"/>
        <v>0</v>
      </c>
      <c r="N57" s="34">
        <f t="shared" si="27"/>
        <v>0</v>
      </c>
      <c r="O57" s="16">
        <f t="shared" si="24"/>
        <v>0</v>
      </c>
    </row>
    <row r="58" spans="1:16" hidden="1">
      <c r="B58" s="38" t="s">
        <v>34</v>
      </c>
      <c r="C58" s="34">
        <f t="shared" ref="C58:N58" si="28">C11-C34</f>
        <v>0</v>
      </c>
      <c r="D58" s="34">
        <f t="shared" si="28"/>
        <v>0</v>
      </c>
      <c r="E58" s="34">
        <f t="shared" si="28"/>
        <v>0</v>
      </c>
      <c r="F58" s="34">
        <f t="shared" si="28"/>
        <v>0</v>
      </c>
      <c r="G58" s="34">
        <f t="shared" si="28"/>
        <v>0</v>
      </c>
      <c r="H58" s="34">
        <f t="shared" si="28"/>
        <v>0</v>
      </c>
      <c r="I58" s="34">
        <f t="shared" si="28"/>
        <v>0</v>
      </c>
      <c r="J58" s="34">
        <f t="shared" si="28"/>
        <v>0</v>
      </c>
      <c r="K58" s="34">
        <f t="shared" si="28"/>
        <v>0</v>
      </c>
      <c r="L58" s="34">
        <f t="shared" si="28"/>
        <v>0</v>
      </c>
      <c r="M58" s="34">
        <f t="shared" si="28"/>
        <v>0</v>
      </c>
      <c r="N58" s="34">
        <f t="shared" si="28"/>
        <v>0</v>
      </c>
      <c r="O58" s="16">
        <f t="shared" si="24"/>
        <v>0</v>
      </c>
    </row>
    <row r="59" spans="1:16" hidden="1">
      <c r="B59" s="38" t="s">
        <v>35</v>
      </c>
      <c r="C59" s="34">
        <f t="shared" ref="C59:N59" si="29">C12-C35</f>
        <v>0</v>
      </c>
      <c r="D59" s="34">
        <f t="shared" si="29"/>
        <v>0</v>
      </c>
      <c r="E59" s="34">
        <f t="shared" si="29"/>
        <v>0</v>
      </c>
      <c r="F59" s="34">
        <f t="shared" si="29"/>
        <v>0</v>
      </c>
      <c r="G59" s="34">
        <f t="shared" si="29"/>
        <v>0</v>
      </c>
      <c r="H59" s="34">
        <f t="shared" si="29"/>
        <v>0</v>
      </c>
      <c r="I59" s="34">
        <f t="shared" si="29"/>
        <v>0</v>
      </c>
      <c r="J59" s="34">
        <f t="shared" si="29"/>
        <v>0</v>
      </c>
      <c r="K59" s="34">
        <f t="shared" si="29"/>
        <v>0</v>
      </c>
      <c r="L59" s="34">
        <f t="shared" si="29"/>
        <v>0</v>
      </c>
      <c r="M59" s="34">
        <f t="shared" si="29"/>
        <v>0</v>
      </c>
      <c r="N59" s="34">
        <f t="shared" si="29"/>
        <v>0</v>
      </c>
      <c r="O59" s="16">
        <f t="shared" si="24"/>
        <v>0</v>
      </c>
    </row>
    <row r="60" spans="1:16" hidden="1">
      <c r="B60" s="38" t="s">
        <v>36</v>
      </c>
      <c r="C60" s="34">
        <f t="shared" ref="C60:N60" si="30">C13-C36</f>
        <v>0</v>
      </c>
      <c r="D60" s="34">
        <f t="shared" si="30"/>
        <v>0</v>
      </c>
      <c r="E60" s="34">
        <f t="shared" si="30"/>
        <v>0</v>
      </c>
      <c r="F60" s="34">
        <f t="shared" si="30"/>
        <v>0</v>
      </c>
      <c r="G60" s="34">
        <f t="shared" si="30"/>
        <v>0</v>
      </c>
      <c r="H60" s="34">
        <f t="shared" si="30"/>
        <v>0</v>
      </c>
      <c r="I60" s="34">
        <f t="shared" si="30"/>
        <v>0</v>
      </c>
      <c r="J60" s="34">
        <f t="shared" si="30"/>
        <v>0</v>
      </c>
      <c r="K60" s="34">
        <f t="shared" si="30"/>
        <v>0</v>
      </c>
      <c r="L60" s="34">
        <f t="shared" si="30"/>
        <v>0</v>
      </c>
      <c r="M60" s="34">
        <f t="shared" si="30"/>
        <v>0</v>
      </c>
      <c r="N60" s="34">
        <f t="shared" si="30"/>
        <v>0</v>
      </c>
      <c r="O60" s="16">
        <f t="shared" si="24"/>
        <v>0</v>
      </c>
    </row>
    <row r="61" spans="1:16">
      <c r="A61" t="s">
        <v>121</v>
      </c>
      <c r="B61" s="39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540940.76</v>
      </c>
      <c r="J61" s="19">
        <f t="shared" si="31"/>
        <v>148623.26</v>
      </c>
      <c r="K61" s="19">
        <f t="shared" si="31"/>
        <v>-449386.67999999993</v>
      </c>
      <c r="L61" s="19">
        <f t="shared" si="31"/>
        <v>-602035.5</v>
      </c>
      <c r="M61" s="19">
        <f t="shared" si="31"/>
        <v>-1497797.9900000002</v>
      </c>
      <c r="N61" s="19">
        <f t="shared" si="31"/>
        <v>-353563</v>
      </c>
      <c r="O61" s="19">
        <f t="shared" ref="O61" si="32">SUM(O54:O60)</f>
        <v>-2810431.3200000003</v>
      </c>
    </row>
    <row r="62" spans="1:16">
      <c r="B62" s="39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18"/>
    </row>
    <row r="63" spans="1:16">
      <c r="B63" s="39" t="s">
        <v>125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16"/>
    </row>
    <row r="64" spans="1:16">
      <c r="B64" s="38" t="s">
        <v>31</v>
      </c>
      <c r="C64" s="34">
        <f t="shared" ref="C64:N64" si="33">C17-C40</f>
        <v>-47811.546666666669</v>
      </c>
      <c r="D64" s="34">
        <f t="shared" si="33"/>
        <v>41169.313333333339</v>
      </c>
      <c r="E64" s="34">
        <f t="shared" si="33"/>
        <v>27805.373333333337</v>
      </c>
      <c r="F64" s="34">
        <f t="shared" si="33"/>
        <v>10190.163333333338</v>
      </c>
      <c r="G64" s="34">
        <f t="shared" si="33"/>
        <v>44914.113333333335</v>
      </c>
      <c r="H64" s="34">
        <f t="shared" si="33"/>
        <v>18058.623333333337</v>
      </c>
      <c r="I64" s="34">
        <f t="shared" si="33"/>
        <v>35742.523333333331</v>
      </c>
      <c r="J64" s="34">
        <f t="shared" si="33"/>
        <v>35151.233333333337</v>
      </c>
      <c r="K64" s="34">
        <f t="shared" si="33"/>
        <v>-24042.946666666663</v>
      </c>
      <c r="L64" s="34">
        <f t="shared" si="33"/>
        <v>-4365.9066666666622</v>
      </c>
      <c r="M64" s="34">
        <f t="shared" si="33"/>
        <v>2055.1833333333343</v>
      </c>
      <c r="N64" s="34">
        <f t="shared" si="33"/>
        <v>-19774.096666666657</v>
      </c>
      <c r="O64" s="16">
        <f t="shared" ref="O64:O71" si="34">SUM(C64:N64)</f>
        <v>119092.03000000006</v>
      </c>
    </row>
    <row r="65" spans="1:15">
      <c r="B65" s="38" t="s">
        <v>32</v>
      </c>
      <c r="C65" s="34">
        <f t="shared" ref="C65:N65" si="35">C18-C41</f>
        <v>11094.266666666668</v>
      </c>
      <c r="D65" s="34">
        <f t="shared" si="35"/>
        <v>11239.926666666668</v>
      </c>
      <c r="E65" s="34">
        <f t="shared" si="35"/>
        <v>-76019.283333333326</v>
      </c>
      <c r="F65" s="34">
        <f t="shared" si="35"/>
        <v>-12842.533333333336</v>
      </c>
      <c r="G65" s="34">
        <f t="shared" si="35"/>
        <v>-33682.91333333333</v>
      </c>
      <c r="H65" s="34">
        <f t="shared" si="35"/>
        <v>-43901.763333333336</v>
      </c>
      <c r="I65" s="34">
        <f t="shared" si="35"/>
        <v>-298066.86333333334</v>
      </c>
      <c r="J65" s="34">
        <f t="shared" si="35"/>
        <v>-911868.3633333334</v>
      </c>
      <c r="K65" s="34">
        <f t="shared" si="35"/>
        <v>-1137178.2333333334</v>
      </c>
      <c r="L65" s="34">
        <f t="shared" si="35"/>
        <v>-236570.39333333331</v>
      </c>
      <c r="M65" s="34">
        <f t="shared" si="35"/>
        <v>937204.81666666677</v>
      </c>
      <c r="N65" s="34">
        <f t="shared" si="35"/>
        <v>-241313.44333333336</v>
      </c>
      <c r="O65" s="16">
        <f t="shared" si="34"/>
        <v>-2031904.7799999998</v>
      </c>
    </row>
    <row r="66" spans="1:15" hidden="1">
      <c r="B66" s="38" t="s">
        <v>33</v>
      </c>
      <c r="C66" s="34">
        <f t="shared" ref="C66:N66" si="36">C20-C43</f>
        <v>0</v>
      </c>
      <c r="D66" s="34">
        <f t="shared" si="36"/>
        <v>0</v>
      </c>
      <c r="E66" s="34">
        <f t="shared" si="36"/>
        <v>0</v>
      </c>
      <c r="F66" s="34">
        <f t="shared" si="36"/>
        <v>0</v>
      </c>
      <c r="G66" s="34">
        <f t="shared" si="36"/>
        <v>0</v>
      </c>
      <c r="H66" s="34">
        <f t="shared" si="36"/>
        <v>0</v>
      </c>
      <c r="I66" s="34">
        <f t="shared" si="36"/>
        <v>0</v>
      </c>
      <c r="J66" s="34">
        <f t="shared" si="36"/>
        <v>0</v>
      </c>
      <c r="K66" s="34">
        <f t="shared" si="36"/>
        <v>0</v>
      </c>
      <c r="L66" s="34">
        <f t="shared" si="36"/>
        <v>0</v>
      </c>
      <c r="M66" s="34">
        <f t="shared" si="36"/>
        <v>0</v>
      </c>
      <c r="N66" s="34">
        <f t="shared" si="36"/>
        <v>0</v>
      </c>
      <c r="O66" s="16">
        <f t="shared" si="34"/>
        <v>0</v>
      </c>
    </row>
    <row r="67" spans="1:15" hidden="1">
      <c r="B67" s="38" t="s">
        <v>34</v>
      </c>
      <c r="C67" s="34">
        <f t="shared" ref="C67:N67" si="37">C21-C44</f>
        <v>0</v>
      </c>
      <c r="D67" s="34">
        <f t="shared" si="37"/>
        <v>0</v>
      </c>
      <c r="E67" s="34">
        <f t="shared" si="37"/>
        <v>0</v>
      </c>
      <c r="F67" s="34">
        <f t="shared" si="37"/>
        <v>0</v>
      </c>
      <c r="G67" s="34">
        <f t="shared" si="37"/>
        <v>0</v>
      </c>
      <c r="H67" s="34">
        <f t="shared" si="37"/>
        <v>0</v>
      </c>
      <c r="I67" s="34">
        <f t="shared" si="37"/>
        <v>0</v>
      </c>
      <c r="J67" s="34">
        <f t="shared" si="37"/>
        <v>0</v>
      </c>
      <c r="K67" s="34">
        <f t="shared" si="37"/>
        <v>0</v>
      </c>
      <c r="L67" s="34">
        <f t="shared" si="37"/>
        <v>0</v>
      </c>
      <c r="M67" s="34">
        <f t="shared" si="37"/>
        <v>0</v>
      </c>
      <c r="N67" s="34">
        <f t="shared" si="37"/>
        <v>0</v>
      </c>
      <c r="O67" s="16">
        <f t="shared" si="34"/>
        <v>0</v>
      </c>
    </row>
    <row r="68" spans="1:15">
      <c r="B68" s="38" t="s">
        <v>76</v>
      </c>
      <c r="C68" s="34">
        <f t="shared" ref="C68:N68" si="38">C19-C42</f>
        <v>9818.1433333333334</v>
      </c>
      <c r="D68" s="34">
        <f t="shared" si="38"/>
        <v>11981.143333333333</v>
      </c>
      <c r="E68" s="34">
        <f t="shared" si="38"/>
        <v>8099.3233333333337</v>
      </c>
      <c r="F68" s="34">
        <f t="shared" si="38"/>
        <v>10318.413333333334</v>
      </c>
      <c r="G68" s="34">
        <f t="shared" si="38"/>
        <v>10662.563333333334</v>
      </c>
      <c r="H68" s="34">
        <f t="shared" si="38"/>
        <v>9988.9933333333338</v>
      </c>
      <c r="I68" s="34">
        <f t="shared" si="38"/>
        <v>11234.383333333333</v>
      </c>
      <c r="J68" s="34">
        <f t="shared" si="38"/>
        <v>12306.373333333333</v>
      </c>
      <c r="K68" s="34">
        <f t="shared" si="38"/>
        <v>10103.643333333333</v>
      </c>
      <c r="L68" s="34">
        <f t="shared" si="38"/>
        <v>10772.153333333334</v>
      </c>
      <c r="M68" s="34">
        <f t="shared" si="38"/>
        <v>9740.0733333333337</v>
      </c>
      <c r="N68" s="34">
        <f t="shared" si="38"/>
        <v>11036.783333333335</v>
      </c>
      <c r="O68" s="16">
        <f t="shared" ref="O68" si="39">SUM(C68:N68)</f>
        <v>126061.99000000002</v>
      </c>
    </row>
    <row r="69" spans="1:15">
      <c r="B69" s="38" t="s">
        <v>35</v>
      </c>
      <c r="C69" s="34">
        <f t="shared" ref="C69:N69" si="40">C22-C45</f>
        <v>123991.44</v>
      </c>
      <c r="D69" s="34">
        <f t="shared" si="40"/>
        <v>123508.01</v>
      </c>
      <c r="E69" s="34">
        <f t="shared" si="40"/>
        <v>123587.04</v>
      </c>
      <c r="F69" s="34">
        <f t="shared" si="40"/>
        <v>-182407.89</v>
      </c>
      <c r="G69" s="34">
        <f t="shared" si="40"/>
        <v>126000</v>
      </c>
      <c r="H69" s="34">
        <f t="shared" si="40"/>
        <v>126000</v>
      </c>
      <c r="I69" s="34">
        <f t="shared" si="40"/>
        <v>-99033.16</v>
      </c>
      <c r="J69" s="34">
        <f t="shared" si="40"/>
        <v>125988.53</v>
      </c>
      <c r="K69" s="34">
        <f t="shared" si="40"/>
        <v>63358.259999999995</v>
      </c>
      <c r="L69" s="34">
        <f t="shared" si="40"/>
        <v>-271578.98</v>
      </c>
      <c r="M69" s="34">
        <f t="shared" si="40"/>
        <v>126000</v>
      </c>
      <c r="N69" s="34">
        <f t="shared" si="40"/>
        <v>125984.37</v>
      </c>
      <c r="O69" s="16">
        <f t="shared" si="34"/>
        <v>511397.62</v>
      </c>
    </row>
    <row r="70" spans="1:15">
      <c r="B70" s="38" t="s">
        <v>78</v>
      </c>
      <c r="C70" s="34">
        <f t="shared" ref="C70:N70" si="41">C23-C46</f>
        <v>57542.813333333324</v>
      </c>
      <c r="D70" s="34">
        <f t="shared" si="41"/>
        <v>50359.173333333325</v>
      </c>
      <c r="E70" s="34">
        <f t="shared" si="41"/>
        <v>41436.613333333327</v>
      </c>
      <c r="F70" s="34">
        <f t="shared" si="41"/>
        <v>43813.683333333327</v>
      </c>
      <c r="G70" s="34">
        <f t="shared" si="41"/>
        <v>80203.41333333333</v>
      </c>
      <c r="H70" s="34">
        <f t="shared" si="41"/>
        <v>-9793.1866666666756</v>
      </c>
      <c r="I70" s="34">
        <f t="shared" si="41"/>
        <v>45860.593333333331</v>
      </c>
      <c r="J70" s="34">
        <f t="shared" si="41"/>
        <v>76834.423333333325</v>
      </c>
      <c r="K70" s="34">
        <f t="shared" si="41"/>
        <v>-41401.666666666672</v>
      </c>
      <c r="L70" s="34">
        <f t="shared" si="41"/>
        <v>-41205.056666666685</v>
      </c>
      <c r="M70" s="34">
        <f t="shared" si="41"/>
        <v>39868.183333333327</v>
      </c>
      <c r="N70" s="34">
        <f t="shared" si="41"/>
        <v>-36203.906666666677</v>
      </c>
      <c r="O70" s="16">
        <f t="shared" ref="O70" si="42">SUM(C70:N70)</f>
        <v>307315.07999999996</v>
      </c>
    </row>
    <row r="71" spans="1:15">
      <c r="B71" s="38" t="s">
        <v>36</v>
      </c>
      <c r="C71" s="34">
        <f t="shared" ref="C71:N71" si="43">C24-C47</f>
        <v>153020</v>
      </c>
      <c r="D71" s="34">
        <f t="shared" si="43"/>
        <v>131138.47999999998</v>
      </c>
      <c r="E71" s="34">
        <f t="shared" si="43"/>
        <v>123660.92</v>
      </c>
      <c r="F71" s="34">
        <f t="shared" si="43"/>
        <v>100690.87</v>
      </c>
      <c r="G71" s="34">
        <f t="shared" si="43"/>
        <v>134054.91999999998</v>
      </c>
      <c r="H71" s="34">
        <f t="shared" si="43"/>
        <v>126728.04999999999</v>
      </c>
      <c r="I71" s="34">
        <f t="shared" si="43"/>
        <v>142529.54999999999</v>
      </c>
      <c r="J71" s="34">
        <f t="shared" si="43"/>
        <v>129554.45000000001</v>
      </c>
      <c r="K71" s="34">
        <f t="shared" si="43"/>
        <v>128756.82</v>
      </c>
      <c r="L71" s="34">
        <f t="shared" si="43"/>
        <v>115266.11</v>
      </c>
      <c r="M71" s="34">
        <f t="shared" si="43"/>
        <v>127838.28000000001</v>
      </c>
      <c r="N71" s="34">
        <f t="shared" si="43"/>
        <v>110560.93999999999</v>
      </c>
      <c r="O71" s="16">
        <f t="shared" si="34"/>
        <v>1523799.3900000001</v>
      </c>
    </row>
    <row r="72" spans="1:15">
      <c r="A72" t="s">
        <v>122</v>
      </c>
      <c r="B72" s="39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-161732.9733333335</v>
      </c>
      <c r="J72" s="19">
        <f t="shared" si="44"/>
        <v>-532033.35333333339</v>
      </c>
      <c r="K72" s="19">
        <f t="shared" si="44"/>
        <v>-1000404.1233333334</v>
      </c>
      <c r="L72" s="19">
        <f t="shared" si="44"/>
        <v>-427682.07333333336</v>
      </c>
      <c r="M72" s="19">
        <f t="shared" si="44"/>
        <v>1242706.5366666666</v>
      </c>
      <c r="N72" s="19">
        <f t="shared" si="44"/>
        <v>-49709.353333333391</v>
      </c>
      <c r="O72" s="19">
        <f t="shared" ref="O72" si="45">SUM(O64:O71)</f>
        <v>555761.33000000042</v>
      </c>
    </row>
    <row r="73" spans="1:15">
      <c r="B73" s="39"/>
      <c r="C73" s="34" t="s">
        <v>53</v>
      </c>
      <c r="D73" s="34" t="s">
        <v>53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8"/>
    </row>
    <row r="74" spans="1:15" ht="15.75" thickBot="1">
      <c r="B74" s="39" t="s">
        <v>40</v>
      </c>
      <c r="C74" s="36">
        <f t="shared" ref="C74:N74" si="46">C27-C50</f>
        <v>-419680.03333333344</v>
      </c>
      <c r="D74" s="36">
        <f t="shared" si="46"/>
        <v>634405.87666666647</v>
      </c>
      <c r="E74" s="36">
        <f t="shared" si="46"/>
        <v>226403.55666666641</v>
      </c>
      <c r="F74" s="36">
        <f t="shared" si="46"/>
        <v>183021.14666666649</v>
      </c>
      <c r="G74" s="36">
        <f t="shared" si="46"/>
        <v>628411.01666666649</v>
      </c>
      <c r="H74" s="36">
        <f t="shared" si="46"/>
        <v>-365157.0633333337</v>
      </c>
      <c r="I74" s="36">
        <f t="shared" si="46"/>
        <v>379207.78666666639</v>
      </c>
      <c r="J74" s="36">
        <f t="shared" si="46"/>
        <v>-383410.0933333335</v>
      </c>
      <c r="K74" s="36">
        <f t="shared" si="46"/>
        <v>-1449790.8033333332</v>
      </c>
      <c r="L74" s="36">
        <f t="shared" si="46"/>
        <v>-1029717.5733333337</v>
      </c>
      <c r="M74" s="36">
        <f t="shared" si="46"/>
        <v>-255091.4533333336</v>
      </c>
      <c r="N74" s="36">
        <f t="shared" si="46"/>
        <v>-403272.35333333351</v>
      </c>
      <c r="O74" s="36">
        <f>O72+O61</f>
        <v>-2254669.9899999998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</row>
    <row r="81" spans="2:15">
      <c r="B81" s="88" t="s">
        <v>93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100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123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124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136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146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154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162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173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184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194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193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'WA-Sch191 Rider Balance'!J17</f>
        <v>-254358.93362711184</v>
      </c>
    </row>
    <row r="3" spans="1:2">
      <c r="A3" s="78"/>
    </row>
    <row r="4" spans="1:2">
      <c r="A4" s="78" t="s">
        <v>70</v>
      </c>
      <c r="B4" s="1">
        <v>2972000</v>
      </c>
    </row>
    <row r="5" spans="1:2">
      <c r="A5" s="78" t="s">
        <v>71</v>
      </c>
      <c r="B5" s="82">
        <f>SUM('WA-Sch191 Rider Balance'!K11:N11)</f>
        <v>1745400.6666666667</v>
      </c>
    </row>
    <row r="6" spans="1:2">
      <c r="A6" s="78"/>
      <c r="B6" s="1">
        <f>B5-B4</f>
        <v>-1226599.3333333333</v>
      </c>
    </row>
    <row r="8" spans="1:2">
      <c r="A8" s="78" t="s">
        <v>72</v>
      </c>
      <c r="B8" s="3">
        <f>B2+B6</f>
        <v>-1480958.2669604451</v>
      </c>
    </row>
    <row r="10" spans="1:2">
      <c r="A10" s="78" t="s">
        <v>73</v>
      </c>
      <c r="B10" s="1">
        <v>7703000</v>
      </c>
    </row>
    <row r="11" spans="1:2">
      <c r="A11" t="s">
        <v>74</v>
      </c>
      <c r="B11" s="83"/>
    </row>
    <row r="12" spans="1:2">
      <c r="B12" s="3">
        <f>B11-B10</f>
        <v>-7703000</v>
      </c>
    </row>
    <row r="14" spans="1:2">
      <c r="A14" t="s">
        <v>75</v>
      </c>
      <c r="B14" s="3">
        <f>B8+B12</f>
        <v>-9183958.2669604458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S34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</cols>
  <sheetData>
    <row r="2" spans="1:19">
      <c r="B2" s="37" t="s">
        <v>48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-390834.08362711186</v>
      </c>
      <c r="K5" s="1">
        <v>-254358.93362711184</v>
      </c>
      <c r="L5" s="1">
        <v>84499.993154519412</v>
      </c>
      <c r="M5" s="1">
        <v>220859.08202999562</v>
      </c>
      <c r="N5" s="1">
        <v>363672.24594533938</v>
      </c>
      <c r="O5" s="38"/>
      <c r="P5" s="42">
        <v>2970263.64</v>
      </c>
      <c r="Q5" s="45">
        <v>657836.98644040385</v>
      </c>
      <c r="R5" s="45">
        <v>-510936.81362711196</v>
      </c>
      <c r="S5" s="45">
        <v>84499.99315451947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5">
        <v>7863460.2443468841</v>
      </c>
      <c r="P7" s="45">
        <v>3242421.4812407149</v>
      </c>
      <c r="Q7" s="45">
        <v>1167957.4826805491</v>
      </c>
      <c r="R7" s="45">
        <v>623122.5848971568</v>
      </c>
      <c r="S7" s="45">
        <v>2829958.6955284635</v>
      </c>
    </row>
    <row r="8" spans="1:19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217579.7</v>
      </c>
      <c r="J8" s="1">
        <v>126726.47999999998</v>
      </c>
      <c r="K8" s="1">
        <v>116330.2332183688</v>
      </c>
      <c r="L8" s="1">
        <v>177846.12112452381</v>
      </c>
      <c r="M8" s="1">
        <v>448561.02608465619</v>
      </c>
      <c r="N8" s="1">
        <v>782307.93777416111</v>
      </c>
      <c r="O8" s="45">
        <v>7924966.0918288212</v>
      </c>
      <c r="P8" s="45">
        <v>3825781.5735595962</v>
      </c>
      <c r="Q8" s="45">
        <v>2229833.0200675158</v>
      </c>
      <c r="R8" s="45">
        <v>460636.41321836878</v>
      </c>
      <c r="S8" s="45">
        <v>1408715.0849833412</v>
      </c>
    </row>
    <row r="9" spans="1:19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27081.453806036967</v>
      </c>
      <c r="J9" s="22">
        <v>-60034.496762682742</v>
      </c>
      <c r="K9" s="22">
        <v>-129533.12872214221</v>
      </c>
      <c r="L9" s="22">
        <v>-384086.10092140292</v>
      </c>
      <c r="M9" s="22">
        <v>-494457.85296120908</v>
      </c>
      <c r="N9" s="22">
        <v>-542699.65666251048</v>
      </c>
      <c r="O9" s="46">
        <v>61505.847481937846</v>
      </c>
      <c r="P9" s="46">
        <v>583360.0923188813</v>
      </c>
      <c r="Q9" s="46">
        <v>1061875.5373869666</v>
      </c>
      <c r="R9" s="46">
        <v>-162486.17167878803</v>
      </c>
      <c r="S9" s="46">
        <v>-1421243.6105451223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5">
        <v>5236202</v>
      </c>
      <c r="P11" s="45">
        <v>1309050.5</v>
      </c>
      <c r="Q11" s="45">
        <v>1309050.5</v>
      </c>
      <c r="R11" s="45">
        <v>1309050.5</v>
      </c>
      <c r="S11" s="45">
        <v>1309050.5</v>
      </c>
    </row>
    <row r="12" spans="1:19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337682.43000000005</v>
      </c>
      <c r="J12" s="1">
        <v>263201.63</v>
      </c>
      <c r="K12" s="1">
        <v>455189.16000000003</v>
      </c>
      <c r="L12" s="1">
        <v>314205.21000000002</v>
      </c>
      <c r="M12" s="1">
        <v>591374.18999999994</v>
      </c>
      <c r="N12" s="1">
        <v>1190330.32</v>
      </c>
      <c r="O12" s="45">
        <v>5726397.0800000001</v>
      </c>
      <c r="P12" s="45">
        <v>1513354.9200000002</v>
      </c>
      <c r="Q12" s="45">
        <v>1061059.22</v>
      </c>
      <c r="R12" s="45">
        <v>1056073.2200000002</v>
      </c>
      <c r="S12" s="45">
        <v>2095909.72</v>
      </c>
    </row>
    <row r="13" spans="1:19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98667.736666666635</v>
      </c>
      <c r="J13" s="23">
        <v>173148.53666666668</v>
      </c>
      <c r="K13" s="23">
        <v>-18838.993333333347</v>
      </c>
      <c r="L13" s="23">
        <v>122144.95666666667</v>
      </c>
      <c r="M13" s="23">
        <v>-155024.02333333326</v>
      </c>
      <c r="N13" s="23">
        <v>-753980.15333333332</v>
      </c>
      <c r="O13" s="46">
        <v>-490195.07999999984</v>
      </c>
      <c r="P13" s="47">
        <v>-204304.42000000016</v>
      </c>
      <c r="Q13" s="47">
        <v>247991.28000000003</v>
      </c>
      <c r="R13" s="47">
        <v>252977.2799999998</v>
      </c>
      <c r="S13" s="47">
        <v>-786859.22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-120102.73000000004</v>
      </c>
      <c r="J15" s="1">
        <v>-136475.15000000002</v>
      </c>
      <c r="K15" s="1">
        <v>-338858.92678163125</v>
      </c>
      <c r="L15" s="1">
        <v>-136359.08887547621</v>
      </c>
      <c r="M15" s="1">
        <v>-142813.16391534376</v>
      </c>
      <c r="N15" s="1">
        <v>-408022.38222583896</v>
      </c>
      <c r="O15" s="43">
        <v>2198569.0118288212</v>
      </c>
      <c r="P15" s="43">
        <v>2312426.6535595963</v>
      </c>
      <c r="Q15" s="43">
        <v>1168773.8000675158</v>
      </c>
      <c r="R15" s="43">
        <v>-595436.80678163143</v>
      </c>
      <c r="S15" s="43">
        <v>-687194.63501665881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2209768.9951906204</v>
      </c>
      <c r="D17" s="57">
        <v>1398928.3359438062</v>
      </c>
      <c r="E17" s="57">
        <v>657836.98644040385</v>
      </c>
      <c r="F17" s="57">
        <v>50790.82586601947</v>
      </c>
      <c r="G17" s="57">
        <v>-582696.73902742157</v>
      </c>
      <c r="H17" s="57">
        <v>-510936.8136271119</v>
      </c>
      <c r="I17" s="57">
        <v>-390834.08362711186</v>
      </c>
      <c r="J17" s="57">
        <v>-254358.93362711184</v>
      </c>
      <c r="K17" s="57">
        <v>84499.993154519412</v>
      </c>
      <c r="L17" s="57">
        <v>220859.08202999562</v>
      </c>
      <c r="M17" s="57">
        <v>363672.24594533938</v>
      </c>
      <c r="N17" s="57">
        <v>771694.62817117828</v>
      </c>
      <c r="O17" s="45"/>
      <c r="P17" s="45">
        <v>657836.98644040385</v>
      </c>
      <c r="Q17" s="45">
        <v>-510936.81362711196</v>
      </c>
      <c r="R17" s="45">
        <v>84499.99315451947</v>
      </c>
      <c r="S17" s="45">
        <v>771694.62817117828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2" spans="2:19">
      <c r="B22" s="49" t="s">
        <v>26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2:19">
      <c r="B23" s="88" t="s">
        <v>94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102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106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112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141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149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8" t="s">
        <v>159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9">
      <c r="B30" s="88" t="s">
        <v>169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9">
      <c r="B31" s="88" t="s">
        <v>175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9">
      <c r="B32" s="88" t="s">
        <v>183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88" t="s">
        <v>189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2:15">
      <c r="B34" s="88" t="s">
        <v>195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</sheetData>
  <mergeCells count="12">
    <mergeCell ref="B34:O34"/>
    <mergeCell ref="B33:O33"/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2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5" t="s">
        <v>0</v>
      </c>
      <c r="D4" s="35" t="s">
        <v>1</v>
      </c>
      <c r="E4" s="35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0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0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0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1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0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0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0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0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0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0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0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0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1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29" ht="15.75" thickBot="1">
      <c r="A27" t="s">
        <v>117</v>
      </c>
      <c r="B27" s="9" t="s">
        <v>143</v>
      </c>
      <c r="C27" s="36">
        <f>C25+C14</f>
        <v>449779.83333333326</v>
      </c>
      <c r="D27" s="36">
        <f t="shared" ref="D27:O27" si="12">D25+D14</f>
        <v>449779.83333333326</v>
      </c>
      <c r="E27" s="36">
        <f t="shared" si="12"/>
        <v>449779.83333333326</v>
      </c>
      <c r="F27" s="36">
        <f t="shared" si="12"/>
        <v>449779.83333333326</v>
      </c>
      <c r="G27" s="36">
        <f t="shared" si="12"/>
        <v>449779.83333333326</v>
      </c>
      <c r="H27" s="36">
        <f t="shared" si="12"/>
        <v>449779.83333333326</v>
      </c>
      <c r="I27" s="36">
        <f t="shared" si="12"/>
        <v>449779.83333333326</v>
      </c>
      <c r="J27" s="36">
        <f t="shared" si="12"/>
        <v>449779.83333333326</v>
      </c>
      <c r="K27" s="36">
        <f t="shared" si="12"/>
        <v>449779.83333333326</v>
      </c>
      <c r="L27" s="36">
        <f t="shared" si="12"/>
        <v>449779.83333333326</v>
      </c>
      <c r="M27" s="36">
        <f t="shared" si="12"/>
        <v>449779.83333333326</v>
      </c>
      <c r="N27" s="36">
        <f t="shared" si="12"/>
        <v>449779.83333333326</v>
      </c>
      <c r="O27" s="36">
        <f t="shared" si="12"/>
        <v>5397358</v>
      </c>
    </row>
    <row r="28" spans="1:29" ht="15.75" thickTop="1">
      <c r="B28" s="9"/>
      <c r="O28" s="52"/>
    </row>
    <row r="29" spans="1:29">
      <c r="B29" s="28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4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29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>
        <v>82139.3</v>
      </c>
      <c r="J30" s="18">
        <v>37634.74</v>
      </c>
      <c r="K30" s="18">
        <v>95236.02</v>
      </c>
      <c r="L30" s="18">
        <v>75532.22</v>
      </c>
      <c r="M30" s="18">
        <v>102441.84</v>
      </c>
      <c r="N30" s="18">
        <v>534793.5</v>
      </c>
      <c r="O30" s="50">
        <f t="shared" ref="O30:O36" si="13">SUM(C30:N30)</f>
        <v>1622362.2100000002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29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>
        <v>125380.12000000001</v>
      </c>
      <c r="J31" s="18">
        <v>90597.64</v>
      </c>
      <c r="K31" s="18">
        <v>117305.3</v>
      </c>
      <c r="L31" s="18">
        <v>97841.12</v>
      </c>
      <c r="M31" s="18">
        <v>136588.1</v>
      </c>
      <c r="N31" s="18">
        <v>158253.75</v>
      </c>
      <c r="O31" s="50">
        <f t="shared" si="13"/>
        <v>1927087.79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29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>
        <v>4795.7</v>
      </c>
      <c r="J32" s="18">
        <v>54043.74</v>
      </c>
      <c r="K32" s="18">
        <v>34663.440000000002</v>
      </c>
      <c r="L32" s="18">
        <v>-2668.36</v>
      </c>
      <c r="M32" s="18">
        <v>223635.4</v>
      </c>
      <c r="N32" s="18">
        <v>353429.54</v>
      </c>
      <c r="O32" s="50">
        <f t="shared" si="13"/>
        <v>772769.8899999999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29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0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29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0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29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0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29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0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28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212315.12000000002</v>
      </c>
      <c r="J37" s="19">
        <f t="shared" si="14"/>
        <v>182276.12</v>
      </c>
      <c r="K37" s="19">
        <f t="shared" si="14"/>
        <v>247204.76</v>
      </c>
      <c r="L37" s="19">
        <f t="shared" si="14"/>
        <v>170704.98</v>
      </c>
      <c r="M37" s="19">
        <f t="shared" si="14"/>
        <v>462665.33999999997</v>
      </c>
      <c r="N37" s="19">
        <f t="shared" si="14"/>
        <v>1046476.79</v>
      </c>
      <c r="O37" s="51">
        <f>SUM(O30:O36)</f>
        <v>4322219.8899999997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28"/>
      <c r="F38" s="18"/>
      <c r="G38" s="18"/>
      <c r="H38" s="18"/>
      <c r="I38" s="18"/>
      <c r="J38" s="18"/>
      <c r="K38" s="18"/>
      <c r="L38" s="18"/>
      <c r="M38" s="18"/>
      <c r="N38" s="18"/>
      <c r="O38" s="54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28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4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29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>
        <v>5718.3</v>
      </c>
      <c r="J40" s="18">
        <v>7268.9499999999989</v>
      </c>
      <c r="K40" s="18">
        <v>6089.5300000000007</v>
      </c>
      <c r="L40" s="18">
        <v>14549.2</v>
      </c>
      <c r="M40" s="18">
        <v>21737.030000000002</v>
      </c>
      <c r="N40" s="18">
        <v>11368.34</v>
      </c>
      <c r="O40" s="50">
        <f t="shared" ref="O40:O47" si="15">SUM(C40:N40)</f>
        <v>109514.66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29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>
        <v>16124.300000000001</v>
      </c>
      <c r="J41" s="18">
        <v>16747.91</v>
      </c>
      <c r="K41" s="18">
        <v>23079.1</v>
      </c>
      <c r="L41" s="18">
        <v>22072.53</v>
      </c>
      <c r="M41" s="18">
        <v>4615.8099999999995</v>
      </c>
      <c r="N41" s="18">
        <v>32273.829999999998</v>
      </c>
      <c r="O41" s="50">
        <f t="shared" si="15"/>
        <v>190451.15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29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>
        <v>859.57000000000016</v>
      </c>
      <c r="J42" s="18">
        <v>244.87</v>
      </c>
      <c r="K42" s="18">
        <v>2404.9</v>
      </c>
      <c r="L42" s="18">
        <v>1889.47</v>
      </c>
      <c r="M42" s="18">
        <v>2898.75</v>
      </c>
      <c r="N42" s="18">
        <v>1671</v>
      </c>
      <c r="O42" s="50">
        <f t="shared" si="15"/>
        <v>20498.78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29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29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29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0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29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>
        <v>57763.6</v>
      </c>
      <c r="J46" s="18">
        <v>4055.1600000000003</v>
      </c>
      <c r="K46" s="18">
        <v>118309.48</v>
      </c>
      <c r="L46" s="18">
        <v>45993.87</v>
      </c>
      <c r="M46" s="18">
        <v>37654.11</v>
      </c>
      <c r="N46" s="18">
        <v>40250.75</v>
      </c>
      <c r="O46" s="50">
        <f t="shared" ref="O46" si="16">SUM(C46:N46)</f>
        <v>409706.74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29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>
        <v>44901.54</v>
      </c>
      <c r="J47" s="18">
        <v>52608.62</v>
      </c>
      <c r="K47" s="18">
        <v>58101.39</v>
      </c>
      <c r="L47" s="18">
        <v>58995.16</v>
      </c>
      <c r="M47" s="18">
        <v>61803.15</v>
      </c>
      <c r="N47" s="18">
        <v>58289.610000000008</v>
      </c>
      <c r="O47" s="50">
        <f t="shared" si="15"/>
        <v>674005.86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28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125367.31</v>
      </c>
      <c r="J48" s="19">
        <f t="shared" si="17"/>
        <v>80925.510000000009</v>
      </c>
      <c r="K48" s="19">
        <f t="shared" si="17"/>
        <v>207984.40000000002</v>
      </c>
      <c r="L48" s="19">
        <f t="shared" si="17"/>
        <v>143500.23000000001</v>
      </c>
      <c r="M48" s="19">
        <f t="shared" si="17"/>
        <v>128708.85</v>
      </c>
      <c r="N48" s="19">
        <f t="shared" si="17"/>
        <v>143853.53</v>
      </c>
      <c r="O48" s="51">
        <f>SUM(O40:O47)</f>
        <v>1404177.19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28"/>
      <c r="F49" s="18"/>
      <c r="G49" s="18"/>
      <c r="H49" s="18"/>
      <c r="I49" s="18"/>
      <c r="J49" s="18"/>
      <c r="K49" s="18"/>
      <c r="L49" s="18"/>
      <c r="M49" s="18"/>
      <c r="N49" s="18"/>
      <c r="O49" s="54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28" t="s">
        <v>144</v>
      </c>
      <c r="C50" s="36">
        <f>C48+C37</f>
        <v>626701.16</v>
      </c>
      <c r="D50" s="36">
        <f t="shared" ref="D50:O50" si="18">D48+D37</f>
        <v>424157.41999999993</v>
      </c>
      <c r="E50" s="36">
        <f t="shared" si="18"/>
        <v>462496.34</v>
      </c>
      <c r="F50" s="36">
        <f t="shared" si="18"/>
        <v>277468.66000000003</v>
      </c>
      <c r="G50" s="36">
        <f t="shared" si="18"/>
        <v>299195.49</v>
      </c>
      <c r="H50" s="36">
        <f t="shared" si="18"/>
        <v>484395.07</v>
      </c>
      <c r="I50" s="36">
        <f t="shared" si="18"/>
        <v>337682.43000000005</v>
      </c>
      <c r="J50" s="36">
        <f t="shared" si="18"/>
        <v>263201.63</v>
      </c>
      <c r="K50" s="36">
        <f t="shared" si="18"/>
        <v>455189.16000000003</v>
      </c>
      <c r="L50" s="36">
        <f t="shared" si="18"/>
        <v>314205.21000000002</v>
      </c>
      <c r="M50" s="36">
        <f t="shared" si="18"/>
        <v>591374.18999999994</v>
      </c>
      <c r="N50" s="36">
        <f t="shared" si="18"/>
        <v>1190330.32</v>
      </c>
      <c r="O50" s="36">
        <f t="shared" si="18"/>
        <v>5726397.0800000001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0"/>
      <c r="F51" s="18"/>
      <c r="G51" s="18"/>
      <c r="H51" s="18"/>
      <c r="I51" s="18"/>
      <c r="J51" s="18"/>
      <c r="K51" s="18"/>
      <c r="L51" s="18"/>
      <c r="M51" s="18"/>
      <c r="N51" s="18"/>
      <c r="O51" s="54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1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4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1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4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2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74896.95</v>
      </c>
      <c r="J54" s="20">
        <f t="shared" si="19"/>
        <v>119401.51000000001</v>
      </c>
      <c r="K54" s="20">
        <f t="shared" si="19"/>
        <v>61800.229999999996</v>
      </c>
      <c r="L54" s="20">
        <f t="shared" si="19"/>
        <v>81504.03</v>
      </c>
      <c r="M54" s="20">
        <f t="shared" si="19"/>
        <v>54594.41</v>
      </c>
      <c r="N54" s="20">
        <f t="shared" si="19"/>
        <v>-377757.25</v>
      </c>
      <c r="O54" s="50">
        <f t="shared" ref="O54:O60" si="20">SUM(C54:N54)</f>
        <v>262072.79000000004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2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22265.046666666647</v>
      </c>
      <c r="J55" s="20">
        <f t="shared" si="21"/>
        <v>57047.526666666658</v>
      </c>
      <c r="K55" s="20">
        <f t="shared" si="21"/>
        <v>30339.866666666654</v>
      </c>
      <c r="L55" s="20">
        <f t="shared" si="21"/>
        <v>49804.046666666662</v>
      </c>
      <c r="M55" s="20">
        <f t="shared" si="21"/>
        <v>11057.066666666651</v>
      </c>
      <c r="N55" s="20">
        <f t="shared" si="21"/>
        <v>-10608.583333333343</v>
      </c>
      <c r="O55" s="50">
        <f t="shared" si="20"/>
        <v>-155345.79000000021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2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55540.3</v>
      </c>
      <c r="J56" s="20">
        <f t="shared" si="22"/>
        <v>6292.260000000002</v>
      </c>
      <c r="K56" s="20">
        <f t="shared" si="22"/>
        <v>25672.559999999998</v>
      </c>
      <c r="L56" s="20">
        <f t="shared" si="22"/>
        <v>63004.36</v>
      </c>
      <c r="M56" s="20">
        <f t="shared" si="22"/>
        <v>-163299.4</v>
      </c>
      <c r="N56" s="20">
        <f t="shared" si="22"/>
        <v>-293093.53999999998</v>
      </c>
      <c r="O56" s="50">
        <f t="shared" si="20"/>
        <v>-48737.889999999985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2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0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2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0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2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0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2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0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1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152702.2966666666</v>
      </c>
      <c r="J61" s="19">
        <f t="shared" si="27"/>
        <v>182741.29666666663</v>
      </c>
      <c r="K61" s="19">
        <f t="shared" si="27"/>
        <v>117812.65666666662</v>
      </c>
      <c r="L61" s="19">
        <f t="shared" si="27"/>
        <v>194312.43666666662</v>
      </c>
      <c r="M61" s="19">
        <f t="shared" si="27"/>
        <v>-97647.92333333334</v>
      </c>
      <c r="N61" s="19">
        <f t="shared" si="27"/>
        <v>-681459.37333333341</v>
      </c>
      <c r="O61" s="51">
        <f t="shared" ref="O61" si="28">SUM(O54:O60)</f>
        <v>57989.109999999841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1"/>
      <c r="F62" s="20"/>
      <c r="G62" s="20"/>
      <c r="H62" s="20"/>
      <c r="I62" s="20"/>
      <c r="J62" s="20"/>
      <c r="K62" s="20"/>
      <c r="L62" s="20"/>
      <c r="M62" s="20"/>
      <c r="N62" s="20"/>
      <c r="O62" s="54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1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2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4477.8666666666659</v>
      </c>
      <c r="J64" s="20">
        <f t="shared" si="29"/>
        <v>2927.2166666666672</v>
      </c>
      <c r="K64" s="20">
        <f t="shared" si="29"/>
        <v>4106.6366666666654</v>
      </c>
      <c r="L64" s="20">
        <f t="shared" si="29"/>
        <v>-4353.0333333333347</v>
      </c>
      <c r="M64" s="20">
        <f t="shared" si="29"/>
        <v>-11540.863333333336</v>
      </c>
      <c r="N64" s="20">
        <f t="shared" si="29"/>
        <v>-1172.1733333333341</v>
      </c>
      <c r="O64" s="50">
        <f t="shared" ref="O64:O71" si="30">SUM(C64:N64)</f>
        <v>12839.339999999986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2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-14404.550000000001</v>
      </c>
      <c r="J65" s="20">
        <f t="shared" si="31"/>
        <v>-15028.16</v>
      </c>
      <c r="K65" s="20">
        <f t="shared" si="31"/>
        <v>-21359.35</v>
      </c>
      <c r="L65" s="20">
        <f t="shared" si="31"/>
        <v>-20352.78</v>
      </c>
      <c r="M65" s="20">
        <f t="shared" si="31"/>
        <v>-2896.0599999999995</v>
      </c>
      <c r="N65" s="20">
        <f t="shared" si="31"/>
        <v>-30554.079999999998</v>
      </c>
      <c r="O65" s="50">
        <f t="shared" si="30"/>
        <v>-169814.15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2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8190.8466666666664</v>
      </c>
      <c r="J66" s="20">
        <f t="shared" si="32"/>
        <v>8805.5466666666653</v>
      </c>
      <c r="K66" s="20">
        <f t="shared" si="32"/>
        <v>6645.5166666666664</v>
      </c>
      <c r="L66" s="20">
        <f t="shared" si="32"/>
        <v>7160.9466666666658</v>
      </c>
      <c r="M66" s="20">
        <f t="shared" si="32"/>
        <v>6151.6666666666661</v>
      </c>
      <c r="N66" s="20">
        <f t="shared" si="32"/>
        <v>7379.4166666666661</v>
      </c>
      <c r="O66" s="50">
        <f t="shared" si="30"/>
        <v>88106.22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2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0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2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0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2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0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2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-35025.266666666663</v>
      </c>
      <c r="J70" s="20">
        <f t="shared" si="36"/>
        <v>18683.173333333332</v>
      </c>
      <c r="K70" s="20">
        <f t="shared" si="36"/>
        <v>-95571.146666666667</v>
      </c>
      <c r="L70" s="20">
        <f t="shared" si="36"/>
        <v>-23255.53666666667</v>
      </c>
      <c r="M70" s="20">
        <f t="shared" si="36"/>
        <v>-14915.776666666668</v>
      </c>
      <c r="N70" s="20">
        <f t="shared" si="36"/>
        <v>-17512.416666666668</v>
      </c>
      <c r="O70" s="50">
        <f t="shared" ref="O70" si="37">SUM(C70:N70)</f>
        <v>-136846.74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2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-3843.7900000000009</v>
      </c>
      <c r="J71" s="20">
        <f t="shared" si="38"/>
        <v>-11550.870000000003</v>
      </c>
      <c r="K71" s="20">
        <f t="shared" si="38"/>
        <v>-17043.64</v>
      </c>
      <c r="L71" s="20">
        <f t="shared" si="38"/>
        <v>-17937.410000000003</v>
      </c>
      <c r="M71" s="20">
        <f t="shared" si="38"/>
        <v>-20745.400000000001</v>
      </c>
      <c r="N71" s="20">
        <f t="shared" si="38"/>
        <v>-17231.860000000008</v>
      </c>
      <c r="O71" s="50">
        <f t="shared" si="30"/>
        <v>-181312.86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1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-40604.893333333341</v>
      </c>
      <c r="J72" s="19">
        <f t="shared" si="39"/>
        <v>3836.9066666666477</v>
      </c>
      <c r="K72" s="19">
        <f t="shared" si="39"/>
        <v>-123221.98333333337</v>
      </c>
      <c r="L72" s="19">
        <f t="shared" si="39"/>
        <v>-58737.813333333354</v>
      </c>
      <c r="M72" s="19">
        <f t="shared" si="39"/>
        <v>-43946.433333333349</v>
      </c>
      <c r="N72" s="19">
        <f t="shared" si="39"/>
        <v>-59091.113333333342</v>
      </c>
      <c r="O72" s="51">
        <f t="shared" ref="O72" si="40">SUM(O64:O71)</f>
        <v>-387028.18999999994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1"/>
      <c r="F73" s="20"/>
      <c r="G73" s="20"/>
      <c r="H73" s="20"/>
      <c r="I73" s="20"/>
      <c r="J73" s="20"/>
      <c r="K73" s="20"/>
      <c r="L73" s="20"/>
      <c r="M73" s="20"/>
      <c r="N73" s="20"/>
      <c r="O73" s="54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1" t="s">
        <v>40</v>
      </c>
      <c r="C74" s="36">
        <f t="shared" ref="C74:N74" si="41">C27-C50</f>
        <v>-176921.32666666678</v>
      </c>
      <c r="D74" s="36">
        <f t="shared" si="41"/>
        <v>25622.41333333333</v>
      </c>
      <c r="E74" s="36">
        <f t="shared" si="41"/>
        <v>-12716.50666666677</v>
      </c>
      <c r="F74" s="36">
        <f t="shared" si="41"/>
        <v>172311.17333333322</v>
      </c>
      <c r="G74" s="36">
        <f t="shared" si="41"/>
        <v>150584.34333333327</v>
      </c>
      <c r="H74" s="36">
        <f t="shared" si="41"/>
        <v>-34615.236666666751</v>
      </c>
      <c r="I74" s="36">
        <f t="shared" si="41"/>
        <v>112097.4033333332</v>
      </c>
      <c r="J74" s="36">
        <f t="shared" si="41"/>
        <v>186578.20333333325</v>
      </c>
      <c r="K74" s="36">
        <f t="shared" si="41"/>
        <v>-5409.3266666667769</v>
      </c>
      <c r="L74" s="36">
        <f t="shared" si="41"/>
        <v>135574.62333333323</v>
      </c>
      <c r="M74" s="36">
        <f t="shared" si="41"/>
        <v>-141594.35666666669</v>
      </c>
      <c r="N74" s="36">
        <f t="shared" si="41"/>
        <v>-740550.48666666681</v>
      </c>
      <c r="O74" s="21">
        <f>O72+O61</f>
        <v>-329039.08000000007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0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0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0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59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88" t="s">
        <v>95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88" t="s">
        <v>127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29">
      <c r="B83" s="88" t="s">
        <v>105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29">
      <c r="B84" s="88" t="s">
        <v>110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29">
      <c r="B85" s="88" t="s">
        <v>135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29">
      <c r="B86" s="88" t="s">
        <v>145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29">
      <c r="B87" s="88" t="s">
        <v>155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29">
      <c r="B88" s="88" t="s">
        <v>163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29">
      <c r="B89" s="88" t="s">
        <v>172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29">
      <c r="B90" s="88" t="s">
        <v>182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29">
      <c r="B91" s="88" t="s">
        <v>186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29">
      <c r="B92" s="88" t="s">
        <v>196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'ID-Sch91 Rider Balance'!J17</f>
        <v>-1056350.6895212103</v>
      </c>
    </row>
    <row r="3" spans="1:2">
      <c r="A3" s="78"/>
    </row>
    <row r="4" spans="1:2">
      <c r="A4" s="78" t="s">
        <v>70</v>
      </c>
      <c r="B4" s="1">
        <v>2607000</v>
      </c>
    </row>
    <row r="5" spans="1:2">
      <c r="A5" s="78" t="s">
        <v>71</v>
      </c>
      <c r="B5" s="82">
        <f>SUM('ID-Sch91 Rider Balance'!K11:N11)</f>
        <v>1858259</v>
      </c>
    </row>
    <row r="6" spans="1:2">
      <c r="A6" s="78"/>
      <c r="B6" s="1">
        <f>B5-B4</f>
        <v>-748741</v>
      </c>
    </row>
    <row r="8" spans="1:2">
      <c r="A8" s="78" t="s">
        <v>72</v>
      </c>
      <c r="B8" s="3">
        <f>B2+B6</f>
        <v>-1805091.6895212103</v>
      </c>
    </row>
    <row r="10" spans="1:2">
      <c r="A10" s="78" t="s">
        <v>73</v>
      </c>
      <c r="B10" s="1">
        <v>7706000</v>
      </c>
    </row>
    <row r="11" spans="1:2">
      <c r="A11" t="s">
        <v>74</v>
      </c>
      <c r="B11" s="83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-9511091.6895212103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S3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7" t="s">
        <v>27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-1125415.6535058855</v>
      </c>
      <c r="K5" s="1">
        <v>-1056350.6895212103</v>
      </c>
      <c r="L5" s="1">
        <v>-409810.32642918243</v>
      </c>
      <c r="M5" s="1">
        <v>152612.32067160204</v>
      </c>
      <c r="N5" s="1">
        <v>197919.15270012023</v>
      </c>
      <c r="O5" s="38"/>
      <c r="P5" s="42">
        <v>466307.76</v>
      </c>
      <c r="Q5" s="45">
        <v>-697084.56547564268</v>
      </c>
      <c r="R5" s="45">
        <v>-1056644.8556046295</v>
      </c>
      <c r="S5" s="45">
        <v>-409810.3264291822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5">
        <v>7659479.2666415349</v>
      </c>
      <c r="P7" s="45">
        <v>2103514.6527570458</v>
      </c>
      <c r="Q7" s="45">
        <v>1726584.0675612085</v>
      </c>
      <c r="R7" s="45">
        <v>1795469.930993038</v>
      </c>
      <c r="S7" s="45">
        <v>2033910.6153302416</v>
      </c>
    </row>
    <row r="8" spans="1:19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567444.20790125593</v>
      </c>
      <c r="J8" s="1">
        <v>596613.19601532468</v>
      </c>
      <c r="K8" s="1">
        <v>617244.10690797213</v>
      </c>
      <c r="L8" s="1">
        <v>562848.33289921551</v>
      </c>
      <c r="M8" s="1">
        <v>610107.36797148187</v>
      </c>
      <c r="N8" s="1">
        <v>735989.63395509997</v>
      </c>
      <c r="O8" s="45">
        <v>7707719.1112549789</v>
      </c>
      <c r="P8" s="45">
        <v>2216264.3354756427</v>
      </c>
      <c r="Q8" s="45">
        <v>1801207.9301289869</v>
      </c>
      <c r="R8" s="45">
        <v>1781301.5108245527</v>
      </c>
      <c r="S8" s="45">
        <v>1908945.3348257975</v>
      </c>
    </row>
    <row r="9" spans="1:19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-43308.404160903767</v>
      </c>
      <c r="J9" s="22">
        <v>-16123.94078515924</v>
      </c>
      <c r="K9" s="22">
        <v>45263.924777577864</v>
      </c>
      <c r="L9" s="22">
        <v>-59854.020452899975</v>
      </c>
      <c r="M9" s="22">
        <v>-62270.837718419381</v>
      </c>
      <c r="N9" s="22">
        <v>-2840.422333125025</v>
      </c>
      <c r="O9" s="46">
        <v>48239.844613446156</v>
      </c>
      <c r="P9" s="46">
        <v>112749.68271859689</v>
      </c>
      <c r="Q9" s="46">
        <v>74623.862567778444</v>
      </c>
      <c r="R9" s="46">
        <v>-14168.42016848526</v>
      </c>
      <c r="S9" s="46">
        <v>-124965.28050444415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5">
        <v>5574777</v>
      </c>
      <c r="P11" s="45">
        <v>1393694.25</v>
      </c>
      <c r="Q11" s="45">
        <v>1393694.25</v>
      </c>
      <c r="R11" s="45">
        <v>1393694.25</v>
      </c>
      <c r="S11" s="45">
        <v>1393694.25</v>
      </c>
    </row>
    <row r="12" spans="1:19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498673.41000000003</v>
      </c>
      <c r="J12" s="1">
        <v>665678.16</v>
      </c>
      <c r="K12" s="1">
        <v>1263784.47</v>
      </c>
      <c r="L12" s="1">
        <v>1125270.98</v>
      </c>
      <c r="M12" s="1">
        <v>655414.20000000007</v>
      </c>
      <c r="N12" s="1">
        <v>564793.78</v>
      </c>
      <c r="O12" s="45">
        <v>7268134.6500000004</v>
      </c>
      <c r="P12" s="45">
        <v>1052872.01</v>
      </c>
      <c r="Q12" s="45">
        <v>1441647.6400000001</v>
      </c>
      <c r="R12" s="45">
        <v>2428136.04</v>
      </c>
      <c r="S12" s="45">
        <v>2345478.96</v>
      </c>
    </row>
    <row r="13" spans="1:19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-34108.660000000033</v>
      </c>
      <c r="J13" s="23">
        <v>-201113.41000000003</v>
      </c>
      <c r="K13" s="23">
        <v>-799219.72</v>
      </c>
      <c r="L13" s="23">
        <v>-660706.23</v>
      </c>
      <c r="M13" s="23">
        <v>-190849.45000000007</v>
      </c>
      <c r="N13" s="23">
        <v>-100229.03000000003</v>
      </c>
      <c r="O13" s="46">
        <v>-1693357.6500000001</v>
      </c>
      <c r="P13" s="47">
        <v>340822.24</v>
      </c>
      <c r="Q13" s="47">
        <v>-47953.39000000013</v>
      </c>
      <c r="R13" s="47">
        <v>-1034441.79</v>
      </c>
      <c r="S13" s="47">
        <v>-951784.71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68770.797901255894</v>
      </c>
      <c r="J15" s="1">
        <v>-69064.963984675356</v>
      </c>
      <c r="K15" s="1">
        <v>-646540.36309202784</v>
      </c>
      <c r="L15" s="1">
        <v>-562422.64710078447</v>
      </c>
      <c r="M15" s="1">
        <v>-45306.832028518198</v>
      </c>
      <c r="N15" s="1">
        <v>171195.85395509994</v>
      </c>
      <c r="O15" s="43">
        <v>439584.46125497855</v>
      </c>
      <c r="P15" s="43">
        <v>1163392.3254756427</v>
      </c>
      <c r="Q15" s="43">
        <v>359560.29012898682</v>
      </c>
      <c r="R15" s="43">
        <v>-646834.5291754473</v>
      </c>
      <c r="S15" s="43">
        <v>-436533.62517420249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141315.58494479198</v>
      </c>
      <c r="D17" s="57">
        <v>-292946.2054756427</v>
      </c>
      <c r="E17" s="57">
        <v>-697084.5654756428</v>
      </c>
      <c r="F17" s="57">
        <v>-723239.84637736739</v>
      </c>
      <c r="G17" s="57">
        <v>-1100740.3907709599</v>
      </c>
      <c r="H17" s="57">
        <v>-1056644.8556046295</v>
      </c>
      <c r="I17" s="57">
        <v>-1125415.6535058855</v>
      </c>
      <c r="J17" s="57">
        <v>-1056350.6895212103</v>
      </c>
      <c r="K17" s="57">
        <v>-409810.32642918243</v>
      </c>
      <c r="L17" s="57">
        <v>152612.32067160204</v>
      </c>
      <c r="M17" s="57">
        <v>197919.15270012023</v>
      </c>
      <c r="N17" s="57">
        <v>26723.298745020293</v>
      </c>
      <c r="O17" s="45"/>
      <c r="P17" s="45">
        <v>-697084.56547564268</v>
      </c>
      <c r="Q17" s="45">
        <v>-1056644.8556046295</v>
      </c>
      <c r="R17" s="45">
        <v>-409810.3264291822</v>
      </c>
      <c r="S17" s="45">
        <v>26723.298745020293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1" spans="2:19">
      <c r="B21" s="49" t="s">
        <v>26</v>
      </c>
    </row>
    <row r="22" spans="2:19">
      <c r="B22" s="88" t="s">
        <v>96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9">
      <c r="B23" s="88" t="s">
        <v>103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113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151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160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8" t="s">
        <v>167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9">
      <c r="B30" s="88" t="s">
        <v>176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9">
      <c r="B31" s="88" t="s">
        <v>181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9">
      <c r="B32" s="88" t="s">
        <v>190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88" t="s">
        <v>197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</sheetData>
  <mergeCells count="12">
    <mergeCell ref="B33:O33"/>
    <mergeCell ref="B32:O32"/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2012-01-17T08:00:00+00:00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79F111-C113-4C1D-8DC5-2D86925E1529}"/>
</file>

<file path=customXml/itemProps2.xml><?xml version="1.0" encoding="utf-8"?>
<ds:datastoreItem xmlns:ds="http://schemas.openxmlformats.org/officeDocument/2006/customXml" ds:itemID="{0671E604-6ED6-4386-9433-95ED9ECC3795}"/>
</file>

<file path=customXml/itemProps3.xml><?xml version="1.0" encoding="utf-8"?>
<ds:datastoreItem xmlns:ds="http://schemas.openxmlformats.org/officeDocument/2006/customXml" ds:itemID="{B9F4D1A8-544D-4F12-9AA2-EEF2436085F6}"/>
</file>

<file path=customXml/itemProps4.xml><?xml version="1.0" encoding="utf-8"?>
<ds:datastoreItem xmlns:ds="http://schemas.openxmlformats.org/officeDocument/2006/customXml" ds:itemID="{D40B12CF-B1CC-44EA-997A-C403AF6D4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2012-01-12T19:16:22Z</cp:lastPrinted>
  <dcterms:created xsi:type="dcterms:W3CDTF">2010-03-25T21:27:14Z</dcterms:created>
  <dcterms:modified xsi:type="dcterms:W3CDTF">2012-01-16T17:25:34Z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