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480" yWindow="855" windowWidth="17490" windowHeight="7965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Spread)'!$A$1:$K$46</definedName>
    <definedName name="_xlnm.Print_Area" localSheetId="7">'Exhibit No.__(JAP-Res RD)'!$A$1:$L$33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62913" iterate="1" calcOnSave="0"/>
</workbook>
</file>

<file path=xl/calcChain.xml><?xml version="1.0" encoding="utf-8"?>
<calcChain xmlns="http://schemas.openxmlformats.org/spreadsheetml/2006/main">
  <c r="F32" i="19" l="1"/>
  <c r="G18" i="2" l="1"/>
  <c r="D120" i="30" l="1"/>
  <c r="D122" i="30"/>
  <c r="D121" i="30"/>
  <c r="D117" i="30"/>
  <c r="D115" i="30" l="1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I36" i="18" l="1"/>
  <c r="G40" i="1"/>
  <c r="D38" i="18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B120" i="30" s="1"/>
  <c r="B121" i="30" s="1"/>
  <c r="B122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l="1"/>
  <c r="A16" i="37" s="1"/>
  <c r="A17" i="37" s="1"/>
  <c r="A18" i="37" s="1"/>
  <c r="G9" i="18"/>
  <c r="G9" i="15"/>
  <c r="G9" i="14"/>
  <c r="G9" i="13"/>
  <c r="A3" i="18"/>
  <c r="A3" i="15"/>
  <c r="A3" i="14"/>
  <c r="A3" i="13"/>
  <c r="A3" i="2"/>
  <c r="A8" i="30" l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l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F51" i="30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 s="1"/>
  <c r="A28" i="1" l="1"/>
  <c r="A29" i="1"/>
  <c r="A30" i="1" l="1"/>
  <c r="A31" i="1" l="1"/>
  <c r="A34" i="1" l="1"/>
  <c r="A35" i="1"/>
  <c r="A36" i="1" l="1"/>
  <c r="A39" i="1" l="1"/>
  <c r="A40" i="1" l="1"/>
  <c r="A41" i="1" s="1"/>
  <c r="A43" i="1" s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G121" i="30" l="1"/>
  <c r="G122" i="30"/>
  <c r="D14" i="2"/>
  <c r="G14" i="2" s="1"/>
  <c r="G120" i="30" l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D19" i="2"/>
  <c r="D21" i="2" s="1"/>
  <c r="F19" i="2" l="1"/>
  <c r="D20" i="15"/>
  <c r="F20" i="2" l="1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C66" i="14"/>
  <c r="I30" i="1" s="1"/>
  <c r="F64" i="14"/>
  <c r="F66" i="14" s="1"/>
  <c r="F75" i="14" s="1"/>
  <c r="L30" i="1" s="1"/>
  <c r="F23" i="2" l="1"/>
  <c r="L27" i="2"/>
  <c r="L17" i="1"/>
  <c r="E8" i="19" s="1"/>
  <c r="E19" i="19"/>
  <c r="D19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C39" i="18"/>
  <c r="I40" i="1" s="1"/>
  <c r="D20" i="19" l="1"/>
  <c r="E12" i="19"/>
  <c r="E11" i="19"/>
  <c r="L25" i="1"/>
  <c r="I41" i="1"/>
  <c r="E20" i="19"/>
  <c r="D14" i="19"/>
  <c r="D24" i="19" l="1"/>
  <c r="I45" i="1"/>
  <c r="E14" i="19"/>
  <c r="D28" i="19" l="1"/>
  <c r="I49" i="1"/>
  <c r="D32" i="19" l="1"/>
  <c r="I52" i="1" l="1"/>
  <c r="G30" i="18" l="1"/>
  <c r="F109" i="30" l="1"/>
  <c r="G109" i="30" s="1"/>
  <c r="I30" i="18"/>
  <c r="G14" i="18"/>
  <c r="I14" i="18" l="1"/>
  <c r="I25" i="18" s="1"/>
  <c r="F139" i="30"/>
  <c r="F144" i="30" l="1"/>
  <c r="G144" i="30" s="1"/>
  <c r="G139" i="30"/>
  <c r="F140" i="30"/>
  <c r="N39" i="1"/>
  <c r="K25" i="18"/>
  <c r="G140" i="30" l="1"/>
  <c r="F145" i="30"/>
  <c r="G145" i="30" s="1"/>
  <c r="P39" i="1"/>
  <c r="S39" i="1"/>
  <c r="Q39" i="1" l="1"/>
  <c r="U47" i="1" l="1"/>
  <c r="K30" i="19"/>
  <c r="M30" i="19"/>
  <c r="I56" i="18"/>
  <c r="I58" i="18" s="1"/>
  <c r="N47" i="1" s="1"/>
  <c r="I30" i="19"/>
  <c r="L58" i="18"/>
  <c r="P47" i="1" l="1"/>
  <c r="S47" i="1"/>
  <c r="M58" i="18"/>
  <c r="L59" i="18"/>
  <c r="V47" i="1"/>
  <c r="Q47" i="1" l="1"/>
  <c r="G112" i="30" l="1"/>
  <c r="G115" i="30"/>
  <c r="G114" i="30"/>
  <c r="G111" i="30" l="1"/>
  <c r="F113" i="30"/>
  <c r="G113" i="30" s="1"/>
  <c r="G117" i="30" l="1"/>
  <c r="J40" i="1" l="1"/>
  <c r="F41" i="18" l="1"/>
  <c r="L40" i="1" s="1"/>
  <c r="L41" i="1" s="1"/>
  <c r="E24" i="19" l="1"/>
  <c r="L45" i="1"/>
  <c r="L49" i="1" s="1"/>
  <c r="L52" i="1" s="1"/>
  <c r="E28" i="19" l="1"/>
  <c r="E32" i="19" s="1"/>
  <c r="G18" i="19"/>
  <c r="G13" i="19"/>
  <c r="G8" i="19"/>
  <c r="I35" i="19"/>
  <c r="I32" i="19"/>
  <c r="G11" i="19"/>
  <c r="G12" i="19"/>
  <c r="G17" i="19"/>
  <c r="G19" i="19"/>
  <c r="G26" i="19"/>
  <c r="G22" i="19"/>
  <c r="I37" i="19" l="1"/>
  <c r="G32" i="19"/>
  <c r="I41" i="18" l="1"/>
  <c r="J24" i="19" l="1"/>
  <c r="N40" i="1"/>
  <c r="S40" i="1" l="1"/>
  <c r="P40" i="1"/>
  <c r="N41" i="1"/>
  <c r="I24" i="19"/>
  <c r="K24" i="19"/>
  <c r="I36" i="19"/>
  <c r="M24" i="19"/>
  <c r="U41" i="1"/>
  <c r="I38" i="19" l="1"/>
  <c r="I13" i="19"/>
  <c r="I17" i="19"/>
  <c r="I11" i="19"/>
  <c r="I19" i="19"/>
  <c r="I18" i="19"/>
  <c r="I26" i="19"/>
  <c r="I12" i="19"/>
  <c r="S41" i="1"/>
  <c r="Q40" i="1"/>
  <c r="P41" i="1"/>
  <c r="I8" i="19" l="1"/>
  <c r="I22" i="19"/>
  <c r="J12" i="19"/>
  <c r="K12" i="19" s="1"/>
  <c r="J11" i="19"/>
  <c r="K11" i="19" s="1"/>
  <c r="J8" i="19"/>
  <c r="U18" i="1" s="1"/>
  <c r="J22" i="19"/>
  <c r="M22" i="19" s="1"/>
  <c r="J17" i="19"/>
  <c r="M17" i="19" s="1"/>
  <c r="J19" i="19"/>
  <c r="K19" i="19" s="1"/>
  <c r="J18" i="19"/>
  <c r="M18" i="19" s="1"/>
  <c r="J13" i="19"/>
  <c r="K13" i="19" s="1"/>
  <c r="V41" i="1"/>
  <c r="J26" i="19"/>
  <c r="O24" i="38"/>
  <c r="J45" i="38"/>
  <c r="Q41" i="1"/>
  <c r="J20" i="19" l="1"/>
  <c r="K17" i="19"/>
  <c r="L31" i="14" s="1"/>
  <c r="M11" i="19"/>
  <c r="M12" i="19"/>
  <c r="M19" i="19"/>
  <c r="M8" i="19"/>
  <c r="J14" i="19"/>
  <c r="J28" i="19" s="1"/>
  <c r="K8" i="19"/>
  <c r="L23" i="2" s="1"/>
  <c r="L24" i="2" s="1"/>
  <c r="M13" i="19"/>
  <c r="U36" i="1"/>
  <c r="K18" i="19"/>
  <c r="K20" i="19" s="1"/>
  <c r="K22" i="19"/>
  <c r="L37" i="15" s="1"/>
  <c r="M37" i="15" s="1"/>
  <c r="L50" i="13"/>
  <c r="L47" i="13"/>
  <c r="M47" i="13" s="1"/>
  <c r="L77" i="14"/>
  <c r="M77" i="14" s="1"/>
  <c r="G65" i="14" s="1"/>
  <c r="I65" i="14" s="1"/>
  <c r="L81" i="13"/>
  <c r="M81" i="13" s="1"/>
  <c r="G65" i="13" s="1"/>
  <c r="L52" i="14"/>
  <c r="M52" i="14"/>
  <c r="G42" i="14" s="1"/>
  <c r="I42" i="14" s="1"/>
  <c r="M26" i="19"/>
  <c r="U43" i="1"/>
  <c r="K26" i="19"/>
  <c r="O25" i="38"/>
  <c r="P24" i="38"/>
  <c r="P25" i="38" s="1"/>
  <c r="P26" i="38" s="1"/>
  <c r="K14" i="19"/>
  <c r="L25" i="13"/>
  <c r="M20" i="19"/>
  <c r="U31" i="1"/>
  <c r="J194" i="38"/>
  <c r="H194" i="38" s="1"/>
  <c r="J161" i="38"/>
  <c r="H161" i="38" s="1"/>
  <c r="J98" i="38"/>
  <c r="H98" i="38" s="1"/>
  <c r="J240" i="38"/>
  <c r="H240" i="38" s="1"/>
  <c r="J227" i="38"/>
  <c r="H227" i="38" s="1"/>
  <c r="H45" i="38"/>
  <c r="J290" i="38"/>
  <c r="H290" i="38" s="1"/>
  <c r="J68" i="38"/>
  <c r="H68" i="38" s="1"/>
  <c r="U25" i="1" l="1"/>
  <c r="M14" i="19"/>
  <c r="L28" i="2"/>
  <c r="M24" i="2"/>
  <c r="G20" i="15"/>
  <c r="F127" i="30" s="1"/>
  <c r="G17" i="15"/>
  <c r="I17" i="15" s="1"/>
  <c r="G77" i="13"/>
  <c r="I77" i="13" s="1"/>
  <c r="G35" i="15"/>
  <c r="F135" i="30" s="1"/>
  <c r="G32" i="15"/>
  <c r="I32" i="15" s="1"/>
  <c r="G240" i="38"/>
  <c r="M31" i="14"/>
  <c r="G98" i="38"/>
  <c r="O26" i="38"/>
  <c r="N26" i="38" s="1"/>
  <c r="N25" i="38"/>
  <c r="I138" i="13"/>
  <c r="G38" i="13"/>
  <c r="I38" i="13" s="1"/>
  <c r="L56" i="13" s="1"/>
  <c r="G35" i="13"/>
  <c r="G31" i="13"/>
  <c r="U45" i="1"/>
  <c r="G68" i="38"/>
  <c r="G161" i="38"/>
  <c r="M25" i="13"/>
  <c r="M111" i="13"/>
  <c r="G102" i="13" s="1"/>
  <c r="I102" i="13" s="1"/>
  <c r="J32" i="19"/>
  <c r="I28" i="19"/>
  <c r="M28" i="19"/>
  <c r="K28" i="19"/>
  <c r="H24" i="38"/>
  <c r="G290" i="38"/>
  <c r="G227" i="38"/>
  <c r="G194" i="38"/>
  <c r="G85" i="13"/>
  <c r="I85" i="13" s="1"/>
  <c r="I65" i="13"/>
  <c r="F35" i="30"/>
  <c r="F46" i="30" l="1"/>
  <c r="G25" i="15"/>
  <c r="F129" i="30" s="1"/>
  <c r="G129" i="30" s="1"/>
  <c r="I20" i="15"/>
  <c r="G22" i="2"/>
  <c r="I22" i="2" s="1"/>
  <c r="G19" i="2"/>
  <c r="G21" i="2" s="1"/>
  <c r="I21" i="2" s="1"/>
  <c r="G101" i="13"/>
  <c r="I101" i="13" s="1"/>
  <c r="I103" i="13" s="1"/>
  <c r="I35" i="15"/>
  <c r="L38" i="15" s="1"/>
  <c r="L41" i="15" s="1"/>
  <c r="M41" i="15" s="1"/>
  <c r="G31" i="15" s="1"/>
  <c r="M32" i="19"/>
  <c r="K32" i="19"/>
  <c r="I35" i="13"/>
  <c r="L54" i="13" s="1"/>
  <c r="F26" i="30"/>
  <c r="G37" i="13"/>
  <c r="I37" i="13" s="1"/>
  <c r="L55" i="13" s="1"/>
  <c r="G68" i="14"/>
  <c r="G15" i="14"/>
  <c r="G23" i="14"/>
  <c r="G20" i="14"/>
  <c r="I20" i="14" s="1"/>
  <c r="G27" i="14"/>
  <c r="G73" i="14"/>
  <c r="G24" i="14"/>
  <c r="G17" i="14"/>
  <c r="G35" i="30"/>
  <c r="F11" i="30"/>
  <c r="I18" i="2"/>
  <c r="G20" i="13"/>
  <c r="G15" i="13"/>
  <c r="G16" i="13"/>
  <c r="G19" i="13"/>
  <c r="I31" i="13"/>
  <c r="F22" i="30"/>
  <c r="G135" i="30"/>
  <c r="G127" i="30"/>
  <c r="G46" i="30"/>
  <c r="F56" i="30"/>
  <c r="G56" i="30" s="1"/>
  <c r="U49" i="1"/>
  <c r="G127" i="13"/>
  <c r="I127" i="13" s="1"/>
  <c r="G122" i="13"/>
  <c r="G134" i="13"/>
  <c r="G121" i="13"/>
  <c r="G130" i="13"/>
  <c r="G120" i="13"/>
  <c r="G123" i="13"/>
  <c r="G131" i="13"/>
  <c r="G116" i="13"/>
  <c r="G117" i="13"/>
  <c r="I19" i="2" l="1"/>
  <c r="F12" i="30"/>
  <c r="F65" i="30"/>
  <c r="G126" i="13"/>
  <c r="I126" i="13" s="1"/>
  <c r="I123" i="13"/>
  <c r="F71" i="30"/>
  <c r="I134" i="13"/>
  <c r="G12" i="30"/>
  <c r="I16" i="13"/>
  <c r="F16" i="30"/>
  <c r="G11" i="30"/>
  <c r="I24" i="14"/>
  <c r="G74" i="13"/>
  <c r="F81" i="30"/>
  <c r="I23" i="14"/>
  <c r="G73" i="13"/>
  <c r="F78" i="30"/>
  <c r="G71" i="14"/>
  <c r="I31" i="15"/>
  <c r="I33" i="15" s="1"/>
  <c r="I37" i="15" s="1"/>
  <c r="G16" i="15"/>
  <c r="F133" i="30"/>
  <c r="F69" i="30"/>
  <c r="I131" i="13"/>
  <c r="I20" i="2"/>
  <c r="I23" i="2" s="1"/>
  <c r="L25" i="2" s="1"/>
  <c r="I120" i="13"/>
  <c r="F62" i="30"/>
  <c r="G22" i="30"/>
  <c r="F15" i="30"/>
  <c r="I15" i="13"/>
  <c r="I17" i="13" s="1"/>
  <c r="I73" i="14"/>
  <c r="F106" i="30"/>
  <c r="G106" i="30" s="1"/>
  <c r="F74" i="30"/>
  <c r="G60" i="14"/>
  <c r="I15" i="14"/>
  <c r="G37" i="14"/>
  <c r="L108" i="13"/>
  <c r="G86" i="13" s="1"/>
  <c r="G125" i="13"/>
  <c r="I125" i="13" s="1"/>
  <c r="I121" i="13"/>
  <c r="F63" i="30"/>
  <c r="F18" i="30"/>
  <c r="G22" i="13"/>
  <c r="I22" i="13" s="1"/>
  <c r="I19" i="13"/>
  <c r="F76" i="30"/>
  <c r="G19" i="14"/>
  <c r="I19" i="14" s="1"/>
  <c r="I17" i="14"/>
  <c r="I18" i="14" s="1"/>
  <c r="G67" i="13"/>
  <c r="F60" i="30"/>
  <c r="I117" i="13"/>
  <c r="F64" i="30"/>
  <c r="I122" i="13"/>
  <c r="F59" i="30"/>
  <c r="I116" i="13"/>
  <c r="I118" i="13" s="1"/>
  <c r="I130" i="13"/>
  <c r="F68" i="30"/>
  <c r="L53" i="13"/>
  <c r="G23" i="13"/>
  <c r="I23" i="13" s="1"/>
  <c r="I20" i="13"/>
  <c r="F19" i="30"/>
  <c r="F85" i="30"/>
  <c r="I27" i="14"/>
  <c r="F102" i="30"/>
  <c r="G102" i="30" s="1"/>
  <c r="I68" i="14"/>
  <c r="I69" i="14" s="1"/>
  <c r="G26" i="30"/>
  <c r="I25" i="14" l="1"/>
  <c r="G31" i="14" s="1"/>
  <c r="I132" i="13"/>
  <c r="G143" i="13" s="1"/>
  <c r="I21" i="14"/>
  <c r="I29" i="14" s="1"/>
  <c r="G142" i="13"/>
  <c r="G62" i="30"/>
  <c r="G69" i="30"/>
  <c r="G18" i="30"/>
  <c r="F49" i="30"/>
  <c r="I86" i="13"/>
  <c r="I87" i="13" s="1"/>
  <c r="G74" i="30"/>
  <c r="G15" i="30"/>
  <c r="I124" i="13"/>
  <c r="I128" i="13" s="1"/>
  <c r="I136" i="13" s="1"/>
  <c r="G141" i="13"/>
  <c r="G133" i="30"/>
  <c r="G78" i="30"/>
  <c r="G81" i="30"/>
  <c r="G64" i="30"/>
  <c r="F98" i="30"/>
  <c r="G98" i="30" s="1"/>
  <c r="I60" i="14"/>
  <c r="G62" i="14" s="1"/>
  <c r="F104" i="30"/>
  <c r="G104" i="30" s="1"/>
  <c r="I71" i="14"/>
  <c r="G71" i="30"/>
  <c r="G85" i="30"/>
  <c r="G19" i="30"/>
  <c r="G59" i="30"/>
  <c r="G60" i="30"/>
  <c r="G76" i="30"/>
  <c r="G63" i="30"/>
  <c r="F88" i="30"/>
  <c r="G88" i="30" s="1"/>
  <c r="I37" i="14"/>
  <c r="L53" i="14" s="1"/>
  <c r="L54" i="14" s="1"/>
  <c r="M54" i="14" s="1"/>
  <c r="N17" i="1"/>
  <c r="I16" i="15"/>
  <c r="I18" i="15" s="1"/>
  <c r="I22" i="15" s="1"/>
  <c r="N34" i="1" s="1"/>
  <c r="F125" i="30"/>
  <c r="G24" i="15"/>
  <c r="F130" i="30" s="1"/>
  <c r="G130" i="30" s="1"/>
  <c r="I73" i="13"/>
  <c r="G96" i="13"/>
  <c r="I96" i="13" s="1"/>
  <c r="F39" i="30"/>
  <c r="G97" i="13"/>
  <c r="I97" i="13" s="1"/>
  <c r="F42" i="30"/>
  <c r="I74" i="13"/>
  <c r="G68" i="30"/>
  <c r="I67" i="13"/>
  <c r="I68" i="13" s="1"/>
  <c r="G69" i="13"/>
  <c r="I69" i="13" s="1"/>
  <c r="G89" i="13"/>
  <c r="I89" i="13" s="1"/>
  <c r="M110" i="13"/>
  <c r="G90" i="13" s="1"/>
  <c r="I90" i="13" s="1"/>
  <c r="F37" i="30"/>
  <c r="I21" i="13"/>
  <c r="N35" i="1"/>
  <c r="G16" i="30"/>
  <c r="G65" i="30"/>
  <c r="L42" i="15" l="1"/>
  <c r="M44" i="15" s="1"/>
  <c r="O7" i="13" s="1"/>
  <c r="I75" i="13"/>
  <c r="G70" i="13" s="1"/>
  <c r="I70" i="13" s="1"/>
  <c r="I71" i="13" s="1"/>
  <c r="I79" i="13" s="1"/>
  <c r="F55" i="30"/>
  <c r="G55" i="30" s="1"/>
  <c r="G37" i="30"/>
  <c r="G42" i="30"/>
  <c r="F100" i="30"/>
  <c r="G100" i="30" s="1"/>
  <c r="G64" i="14"/>
  <c r="I64" i="14" s="1"/>
  <c r="I62" i="14"/>
  <c r="I63" i="14" s="1"/>
  <c r="P35" i="1"/>
  <c r="S35" i="1"/>
  <c r="G81" i="13"/>
  <c r="N36" i="1"/>
  <c r="P34" i="1"/>
  <c r="S34" i="1"/>
  <c r="F52" i="30"/>
  <c r="G52" i="30" s="1"/>
  <c r="G49" i="30"/>
  <c r="G46" i="14"/>
  <c r="G45" i="14"/>
  <c r="G39" i="14"/>
  <c r="G49" i="14"/>
  <c r="N24" i="1"/>
  <c r="L51" i="13"/>
  <c r="L52" i="13" s="1"/>
  <c r="L57" i="13" s="1"/>
  <c r="L59" i="13" s="1"/>
  <c r="I91" i="13"/>
  <c r="G125" i="30"/>
  <c r="N28" i="1"/>
  <c r="L32" i="14"/>
  <c r="M33" i="14" s="1"/>
  <c r="O5" i="13" s="1"/>
  <c r="G39" i="30"/>
  <c r="P17" i="1"/>
  <c r="S17" i="1"/>
  <c r="N18" i="1"/>
  <c r="G24" i="13"/>
  <c r="I24" i="13" s="1"/>
  <c r="I25" i="13" s="1"/>
  <c r="M109" i="13" l="1"/>
  <c r="G98" i="13" s="1"/>
  <c r="F50" i="30" s="1"/>
  <c r="I66" i="14"/>
  <c r="I75" i="14" s="1"/>
  <c r="N30" i="1" s="1"/>
  <c r="P18" i="1"/>
  <c r="Q17" i="1"/>
  <c r="F95" i="30"/>
  <c r="G95" i="30" s="1"/>
  <c r="I49" i="14"/>
  <c r="F90" i="30"/>
  <c r="G90" i="30" s="1"/>
  <c r="G41" i="14"/>
  <c r="I41" i="14" s="1"/>
  <c r="I39" i="14"/>
  <c r="I40" i="14" s="1"/>
  <c r="Q34" i="1"/>
  <c r="P36" i="1"/>
  <c r="N21" i="1"/>
  <c r="L26" i="13"/>
  <c r="M27" i="13" s="1"/>
  <c r="O2" i="13" s="1"/>
  <c r="G42" i="13"/>
  <c r="G41" i="13"/>
  <c r="G45" i="13"/>
  <c r="G33" i="13"/>
  <c r="G34" i="13"/>
  <c r="F92" i="30"/>
  <c r="G92" i="30" s="1"/>
  <c r="I45" i="14"/>
  <c r="S36" i="1"/>
  <c r="S18" i="1"/>
  <c r="G27" i="13"/>
  <c r="P28" i="1"/>
  <c r="S28" i="1"/>
  <c r="S24" i="1"/>
  <c r="P24" i="1"/>
  <c r="I46" i="14"/>
  <c r="F93" i="30"/>
  <c r="G93" i="30" s="1"/>
  <c r="Q35" i="1"/>
  <c r="I98" i="13" l="1"/>
  <c r="I99" i="13" s="1"/>
  <c r="G93" i="13" s="1"/>
  <c r="I93" i="13" s="1"/>
  <c r="I94" i="13" s="1"/>
  <c r="I105" i="13" s="1"/>
  <c r="L78" i="14"/>
  <c r="I43" i="14"/>
  <c r="L82" i="13"/>
  <c r="M83" i="13" s="1"/>
  <c r="O4" i="13" s="1"/>
  <c r="N23" i="1"/>
  <c r="G51" i="13"/>
  <c r="I33" i="13"/>
  <c r="F24" i="30"/>
  <c r="F25" i="30"/>
  <c r="G52" i="13"/>
  <c r="I34" i="13"/>
  <c r="Q24" i="1"/>
  <c r="I47" i="14"/>
  <c r="F32" i="30"/>
  <c r="I45" i="13"/>
  <c r="S21" i="1"/>
  <c r="P21" i="1"/>
  <c r="S30" i="1"/>
  <c r="P30" i="1"/>
  <c r="F30" i="30"/>
  <c r="I42" i="13"/>
  <c r="Q36" i="1"/>
  <c r="V36" i="1"/>
  <c r="F53" i="30"/>
  <c r="G53" i="30" s="1"/>
  <c r="F54" i="30"/>
  <c r="G54" i="30" s="1"/>
  <c r="G50" i="30"/>
  <c r="Q28" i="1"/>
  <c r="I41" i="13"/>
  <c r="F29" i="30"/>
  <c r="Q18" i="1"/>
  <c r="V18" i="1"/>
  <c r="I51" i="14" l="1"/>
  <c r="L55" i="14" s="1"/>
  <c r="M56" i="14" s="1"/>
  <c r="O6" i="13" s="1"/>
  <c r="G32" i="30"/>
  <c r="Q30" i="1"/>
  <c r="Q21" i="1"/>
  <c r="G55" i="13"/>
  <c r="G25" i="30"/>
  <c r="P23" i="1"/>
  <c r="S23" i="1"/>
  <c r="G59" i="13"/>
  <c r="I36" i="13"/>
  <c r="I39" i="13" s="1"/>
  <c r="G29" i="30"/>
  <c r="I43" i="13"/>
  <c r="G30" i="30"/>
  <c r="G24" i="30"/>
  <c r="N29" i="1" l="1"/>
  <c r="N31" i="1" s="1"/>
  <c r="G60" i="13"/>
  <c r="G56" i="13"/>
  <c r="G57" i="13" s="1"/>
  <c r="I47" i="13"/>
  <c r="Q23" i="1"/>
  <c r="S29" i="1" l="1"/>
  <c r="P29" i="1"/>
  <c r="P31" i="1" s="1"/>
  <c r="S31" i="1"/>
  <c r="N22" i="1"/>
  <c r="L48" i="13"/>
  <c r="M49" i="13" s="1"/>
  <c r="O3" i="13" s="1"/>
  <c r="Q29" i="1"/>
  <c r="Q31" i="1" l="1"/>
  <c r="V31" i="1"/>
  <c r="S22" i="1"/>
  <c r="P22" i="1"/>
  <c r="N25" i="1"/>
  <c r="S25" i="1" l="1"/>
  <c r="Q22" i="1"/>
  <c r="P25" i="1"/>
  <c r="Q25" i="1" l="1"/>
  <c r="V25" i="1"/>
  <c r="H91" i="38" l="1"/>
  <c r="G17" i="39" l="1"/>
  <c r="H17" i="39" s="1"/>
  <c r="G30" i="39"/>
  <c r="H30" i="39" s="1"/>
  <c r="H61" i="38"/>
  <c r="H90" i="38" l="1"/>
  <c r="H234" i="38" l="1"/>
  <c r="H235" i="38" s="1"/>
  <c r="G144" i="39"/>
  <c r="H144" i="39" s="1"/>
  <c r="H60" i="38"/>
  <c r="G16" i="39"/>
  <c r="H16" i="39" s="1"/>
  <c r="G29" i="39"/>
  <c r="H29" i="39" s="1"/>
  <c r="G13" i="39" l="1"/>
  <c r="H13" i="39" s="1"/>
  <c r="H38" i="38"/>
  <c r="H148" i="38"/>
  <c r="G93" i="39"/>
  <c r="H93" i="39" s="1"/>
  <c r="H155" i="38"/>
  <c r="G100" i="39"/>
  <c r="H100" i="39" s="1"/>
  <c r="G43" i="39"/>
  <c r="H43" i="39" s="1"/>
  <c r="H84" i="38"/>
  <c r="G81" i="39"/>
  <c r="H81" i="39" s="1"/>
  <c r="H136" i="38"/>
  <c r="H143" i="38"/>
  <c r="G88" i="39"/>
  <c r="H88" i="39" s="1"/>
  <c r="G19" i="39"/>
  <c r="H19" i="39" s="1"/>
  <c r="H50" i="38"/>
  <c r="H153" i="38"/>
  <c r="G98" i="39"/>
  <c r="H98" i="39" s="1"/>
  <c r="G103" i="39"/>
  <c r="H103" i="39" s="1"/>
  <c r="H171" i="38"/>
  <c r="H177" i="38"/>
  <c r="G109" i="39"/>
  <c r="H109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31" i="38"/>
  <c r="G76" i="39"/>
  <c r="H76" i="39" s="1"/>
  <c r="H137" i="38"/>
  <c r="G82" i="39"/>
  <c r="H82" i="39" s="1"/>
  <c r="H57" i="38"/>
  <c r="G26" i="39"/>
  <c r="H26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G92" i="39"/>
  <c r="H92" i="39" s="1"/>
  <c r="H147" i="38"/>
  <c r="G33" i="39"/>
  <c r="H33" i="39" s="1"/>
  <c r="H74" i="38"/>
  <c r="G44" i="39"/>
  <c r="H44" i="39" s="1"/>
  <c r="H85" i="38"/>
  <c r="H78" i="38"/>
  <c r="G37" i="39"/>
  <c r="H37" i="39" s="1"/>
  <c r="H138" i="38"/>
  <c r="G83" i="39"/>
  <c r="H83" i="39" s="1"/>
  <c r="G85" i="39"/>
  <c r="H85" i="39" s="1"/>
  <c r="H140" i="38"/>
  <c r="H34" i="38"/>
  <c r="G9" i="39"/>
  <c r="H9" i="39" s="1"/>
  <c r="H150" i="38"/>
  <c r="G95" i="39"/>
  <c r="H95" i="39" s="1"/>
  <c r="G96" i="39"/>
  <c r="H96" i="39" s="1"/>
  <c r="H151" i="38"/>
  <c r="G22" i="39"/>
  <c r="H22" i="39" s="1"/>
  <c r="H53" i="38"/>
  <c r="H36" i="38"/>
  <c r="G11" i="39"/>
  <c r="H11" i="39" s="1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80" i="38"/>
  <c r="G112" i="39"/>
  <c r="H112" i="39" s="1"/>
  <c r="G47" i="39"/>
  <c r="H47" i="39" s="1"/>
  <c r="H88" i="38"/>
  <c r="G106" i="39"/>
  <c r="H106" i="39" s="1"/>
  <c r="H174" i="38"/>
  <c r="G108" i="39"/>
  <c r="H108" i="39" s="1"/>
  <c r="H176" i="38"/>
  <c r="G94" i="39"/>
  <c r="H94" i="39" s="1"/>
  <c r="H149" i="38"/>
  <c r="H184" i="38"/>
  <c r="G116" i="39"/>
  <c r="H116" i="39" s="1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34" i="39"/>
  <c r="H34" i="39" s="1"/>
  <c r="H75" i="38"/>
  <c r="H187" i="38"/>
  <c r="G119" i="39"/>
  <c r="H119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H170" i="38"/>
  <c r="G102" i="39"/>
  <c r="H102" i="39" s="1"/>
  <c r="G104" i="39"/>
  <c r="H104" i="39" s="1"/>
  <c r="H172" i="38"/>
  <c r="G46" i="39"/>
  <c r="H46" i="39" s="1"/>
  <c r="H87" i="38"/>
  <c r="H30" i="38"/>
  <c r="G6" i="39"/>
  <c r="H6" i="39" s="1"/>
  <c r="S19" i="38"/>
  <c r="H241" i="38"/>
  <c r="H19" i="38" s="1"/>
  <c r="R19" i="38"/>
  <c r="H40" i="38" l="1"/>
  <c r="H284" i="38"/>
  <c r="G183" i="39"/>
  <c r="H183" i="39" s="1"/>
  <c r="H93" i="38"/>
  <c r="G141" i="39"/>
  <c r="H141" i="39" s="1"/>
  <c r="H220" i="38"/>
  <c r="S13" i="38"/>
  <c r="H46" i="38"/>
  <c r="H13" i="38" s="1"/>
  <c r="H221" i="38"/>
  <c r="G142" i="39"/>
  <c r="H142" i="39" s="1"/>
  <c r="H63" i="38"/>
  <c r="H189" i="38"/>
  <c r="S14" i="38" l="1"/>
  <c r="R14" i="38" s="1"/>
  <c r="H69" i="38"/>
  <c r="H14" i="38" s="1"/>
  <c r="R13" i="38"/>
  <c r="S15" i="38"/>
  <c r="H99" i="38"/>
  <c r="H15" i="38" s="1"/>
  <c r="S21" i="38"/>
  <c r="S17" i="38"/>
  <c r="H195" i="38"/>
  <c r="H17" i="38" s="1"/>
  <c r="R17" i="38" l="1"/>
  <c r="H201" i="38"/>
  <c r="G122" i="39"/>
  <c r="H122" i="39" s="1"/>
  <c r="G65" i="39"/>
  <c r="H65" i="39" s="1"/>
  <c r="H120" i="38"/>
  <c r="H269" i="38"/>
  <c r="G168" i="39"/>
  <c r="H168" i="39" s="1"/>
  <c r="H248" i="38"/>
  <c r="G147" i="39"/>
  <c r="H147" i="39" s="1"/>
  <c r="H112" i="38"/>
  <c r="G57" i="39"/>
  <c r="H57" i="39" s="1"/>
  <c r="H214" i="38"/>
  <c r="G135" i="39"/>
  <c r="H135" i="39" s="1"/>
  <c r="H265" i="38"/>
  <c r="G164" i="39"/>
  <c r="H164" i="39" s="1"/>
  <c r="H280" i="38"/>
  <c r="G179" i="39"/>
  <c r="H179" i="39" s="1"/>
  <c r="H126" i="38"/>
  <c r="G71" i="39"/>
  <c r="H71" i="39" s="1"/>
  <c r="H247" i="38"/>
  <c r="G146" i="39"/>
  <c r="H146" i="39" s="1"/>
  <c r="G162" i="39"/>
  <c r="H162" i="39" s="1"/>
  <c r="H263" i="38"/>
  <c r="H271" i="38"/>
  <c r="G170" i="39"/>
  <c r="H170" i="39" s="1"/>
  <c r="G151" i="39"/>
  <c r="H151" i="39" s="1"/>
  <c r="H252" i="38"/>
  <c r="G174" i="39"/>
  <c r="H174" i="39" s="1"/>
  <c r="H275" i="38"/>
  <c r="H251" i="38"/>
  <c r="G150" i="39"/>
  <c r="H150" i="39" s="1"/>
  <c r="H282" i="38"/>
  <c r="G181" i="39"/>
  <c r="H181" i="39" s="1"/>
  <c r="G55" i="39"/>
  <c r="H55" i="39" s="1"/>
  <c r="H110" i="38"/>
  <c r="H127" i="38"/>
  <c r="G72" i="39"/>
  <c r="H72" i="39" s="1"/>
  <c r="G123" i="39"/>
  <c r="H123" i="39" s="1"/>
  <c r="H202" i="38"/>
  <c r="R21" i="38"/>
  <c r="H272" i="38"/>
  <c r="G171" i="39"/>
  <c r="H171" i="39" s="1"/>
  <c r="H262" i="38"/>
  <c r="G161" i="39"/>
  <c r="H161" i="39" s="1"/>
  <c r="G137" i="39"/>
  <c r="H137" i="39" s="1"/>
  <c r="H216" i="38"/>
  <c r="G155" i="39"/>
  <c r="H155" i="39" s="1"/>
  <c r="H256" i="38"/>
  <c r="G127" i="39"/>
  <c r="H127" i="39" s="1"/>
  <c r="H206" i="38"/>
  <c r="G126" i="39"/>
  <c r="H126" i="39" s="1"/>
  <c r="H205" i="38"/>
  <c r="H208" i="38"/>
  <c r="G129" i="39"/>
  <c r="H129" i="39" s="1"/>
  <c r="H211" i="38"/>
  <c r="G132" i="39"/>
  <c r="H132" i="39" s="1"/>
  <c r="G153" i="39"/>
  <c r="H153" i="39" s="1"/>
  <c r="H254" i="38"/>
  <c r="G138" i="39"/>
  <c r="H138" i="39" s="1"/>
  <c r="H217" i="38"/>
  <c r="G134" i="39"/>
  <c r="H134" i="39" s="1"/>
  <c r="H213" i="38"/>
  <c r="G172" i="39"/>
  <c r="H172" i="39" s="1"/>
  <c r="H273" i="38"/>
  <c r="G159" i="39"/>
  <c r="H159" i="39" s="1"/>
  <c r="H260" i="38"/>
  <c r="H249" i="38"/>
  <c r="G148" i="39"/>
  <c r="H148" i="39" s="1"/>
  <c r="H106" i="38"/>
  <c r="G51" i="39"/>
  <c r="H51" i="39" s="1"/>
  <c r="G139" i="39"/>
  <c r="H139" i="39" s="1"/>
  <c r="H218" i="38"/>
  <c r="H105" i="38"/>
  <c r="G50" i="39"/>
  <c r="H50" i="39" s="1"/>
  <c r="G59" i="39"/>
  <c r="H59" i="39" s="1"/>
  <c r="H114" i="38"/>
  <c r="H215" i="38"/>
  <c r="G136" i="39"/>
  <c r="H136" i="39" s="1"/>
  <c r="H108" i="38"/>
  <c r="G53" i="39"/>
  <c r="H53" i="39" s="1"/>
  <c r="H270" i="38"/>
  <c r="G169" i="39"/>
  <c r="H169" i="39" s="1"/>
  <c r="H111" i="38"/>
  <c r="G56" i="39"/>
  <c r="H56" i="39" s="1"/>
  <c r="G178" i="39"/>
  <c r="H178" i="39" s="1"/>
  <c r="H279" i="38"/>
  <c r="H117" i="38"/>
  <c r="G62" i="39"/>
  <c r="H62" i="39" s="1"/>
  <c r="G73" i="39"/>
  <c r="H73" i="39" s="1"/>
  <c r="H128" i="38"/>
  <c r="G66" i="39"/>
  <c r="H66" i="39" s="1"/>
  <c r="H121" i="38"/>
  <c r="H278" i="38"/>
  <c r="G177" i="39"/>
  <c r="H177" i="39" s="1"/>
  <c r="G60" i="39"/>
  <c r="H60" i="39" s="1"/>
  <c r="H115" i="38"/>
  <c r="G156" i="39"/>
  <c r="H156" i="39" s="1"/>
  <c r="H257" i="38"/>
  <c r="H203" i="38"/>
  <c r="G124" i="39"/>
  <c r="H124" i="39" s="1"/>
  <c r="H212" i="38"/>
  <c r="G133" i="39"/>
  <c r="H133" i="39" s="1"/>
  <c r="H122" i="38"/>
  <c r="G67" i="39"/>
  <c r="H67" i="39" s="1"/>
  <c r="H259" i="38"/>
  <c r="G158" i="39"/>
  <c r="H158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22" i="38" l="1"/>
  <c r="H285" i="38"/>
  <c r="H156" i="38"/>
  <c r="R15" i="38"/>
  <c r="S20" i="38" l="1"/>
  <c r="H291" i="38"/>
  <c r="H20" i="38" s="1"/>
  <c r="S18" i="38"/>
  <c r="H228" i="38"/>
  <c r="H18" i="38" s="1"/>
  <c r="S16" i="38"/>
  <c r="H162" i="38"/>
  <c r="H16" i="38" s="1"/>
  <c r="R18" i="38" l="1"/>
  <c r="H22" i="38"/>
  <c r="T22" i="38"/>
  <c r="R16" i="38"/>
  <c r="R22" i="38" s="1"/>
  <c r="S22" i="38"/>
  <c r="R20" i="38"/>
  <c r="N43" i="1" l="1"/>
  <c r="H25" i="38"/>
  <c r="P43" i="1" l="1"/>
  <c r="S43" i="1"/>
  <c r="N45" i="1"/>
  <c r="S45" i="1" l="1"/>
  <c r="N49" i="1"/>
  <c r="S49" i="1" s="1"/>
  <c r="V43" i="1"/>
  <c r="Q43" i="1"/>
  <c r="P45" i="1"/>
  <c r="P49" i="1" l="1"/>
  <c r="Q49" i="1" s="1"/>
  <c r="Q45" i="1"/>
  <c r="V45" i="1"/>
  <c r="V49" i="1" s="1"/>
</calcChain>
</file>

<file path=xl/sharedStrings.xml><?xml version="1.0" encoding="utf-8"?>
<sst xmlns="http://schemas.openxmlformats.org/spreadsheetml/2006/main" count="1388" uniqueCount="623">
  <si>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</si>
  <si>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</si>
  <si>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</si>
  <si>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</si>
  <si>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</si>
  <si>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</si>
  <si>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</si>
  <si>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</si>
  <si>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</si>
  <si>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</si>
  <si>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</si>
  <si>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</si>
  <si>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</si>
  <si>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</si>
  <si>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</si>
  <si>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</si>
  <si>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</si>
  <si>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</si>
  <si>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</si>
  <si>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</si>
  <si>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</si>
  <si>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</si>
  <si>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</si>
  <si>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</si>
  <si>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</si>
  <si>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</si>
  <si>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</si>
  <si>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</si>
  <si>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</si>
  <si>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</si>
  <si>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</si>
  <si>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</si>
  <si>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</si>
  <si>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</si>
  <si>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</si>
  <si>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</si>
  <si>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</si>
  <si>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</si>
  <si>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</si>
  <si>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</si>
  <si>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</si>
  <si>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</si>
  <si>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</si>
  <si>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</si>
  <si>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</si>
  <si>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</si>
  <si>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</si>
  <si>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</si>
  <si>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</si>
  <si>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</si>
  <si>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</si>
  <si>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</si>
  <si>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</si>
  <si>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</si>
  <si>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</si>
  <si>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</si>
  <si>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</si>
  <si>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</si>
  <si>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</si>
  <si>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</si>
  <si>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</si>
  <si>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</si>
  <si>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</si>
  <si>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</si>
  <si>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</si>
  <si>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</si>
  <si>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</si>
  <si>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</si>
  <si>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</si>
  <si>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</si>
  <si>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</si>
  <si>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</si>
  <si>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</si>
  <si>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</si>
  <si>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</si>
  <si>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</si>
  <si>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</si>
  <si>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</si>
  <si>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</si>
  <si>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</si>
  <si>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</si>
  <si>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</si>
  <si>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</si>
  <si>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</si>
  <si>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</si>
  <si>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</si>
  <si>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</si>
  <si>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</si>
  <si>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</si>
  <si>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</si>
  <si>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</si>
  <si>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</si>
  <si>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</si>
  <si>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</si>
  <si>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</si>
  <si>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</si>
  <si>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</si>
  <si>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</si>
  <si>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</si>
  <si>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</si>
  <si>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</si>
  <si>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</si>
  <si>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</si>
  <si>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</si>
  <si>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</si>
  <si>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</si>
  <si>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</si>
  <si>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</si>
  <si>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</si>
  <si>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</si>
  <si>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</si>
  <si>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</si>
  <si>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</si>
  <si>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</si>
  <si>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</si>
  <si>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</si>
  <si>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</si>
  <si>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</si>
  <si>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</si>
  <si>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</si>
  <si>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</si>
  <si>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</si>
  <si>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</si>
  <si>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</si>
  <si>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</si>
  <si>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</si>
  <si>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</si>
  <si>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</si>
  <si>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</si>
  <si>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</si>
  <si>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</si>
  <si>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</si>
  <si>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</si>
  <si>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</si>
  <si>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</si>
  <si>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</si>
  <si>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</si>
  <si>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</si>
  <si>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</si>
  <si>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</si>
  <si>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</si>
  <si>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</si>
  <si>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</si>
  <si>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</si>
  <si>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</si>
  <si>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</si>
  <si>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</si>
  <si>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</si>
  <si>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</si>
  <si>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</si>
  <si>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</si>
  <si>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</si>
  <si>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</si>
  <si>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</si>
  <si>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</si>
  <si>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</si>
  <si>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</si>
  <si>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</si>
  <si>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</si>
  <si>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</si>
  <si>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</si>
  <si>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</si>
  <si>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</si>
  <si>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</si>
  <si>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</si>
  <si>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</si>
  <si>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</si>
  <si>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</si>
  <si>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</si>
  <si>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</si>
  <si>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</si>
  <si>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</si>
  <si>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</si>
  <si>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</si>
  <si>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</si>
  <si>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</si>
  <si>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</si>
  <si>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</si>
  <si>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</si>
  <si>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</si>
  <si>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</si>
  <si>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</si>
  <si>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</si>
  <si>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</si>
  <si>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</si>
  <si>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</si>
  <si>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</si>
  <si>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</si>
  <si>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</si>
  <si>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</si>
  <si>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</si>
  <si>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</si>
  <si>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</si>
  <si>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</si>
  <si>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</si>
  <si>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</si>
  <si>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</si>
  <si>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</si>
  <si>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</si>
  <si>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</si>
  <si>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</si>
  <si>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</si>
  <si>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</si>
  <si>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</si>
  <si>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</si>
  <si>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</si>
  <si>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</si>
  <si>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</si>
  <si>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</si>
  <si>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</si>
  <si>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</si>
  <si>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</si>
  <si>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</si>
  <si>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</si>
  <si>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</si>
  <si>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</si>
  <si>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</si>
  <si>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</si>
  <si>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</si>
  <si>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</si>
  <si>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</si>
  <si>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</si>
  <si>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</si>
  <si>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</si>
  <si>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</si>
  <si>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</si>
  <si>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</si>
  <si>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</si>
  <si>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</si>
  <si>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</si>
  <si>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</si>
  <si>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</si>
  <si>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</si>
  <si>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</si>
  <si>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</si>
  <si>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</si>
  <si>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</si>
  <si>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</si>
  <si>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</si>
  <si>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</si>
  <si>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</si>
  <si>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</si>
  <si>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</si>
  <si>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</si>
  <si>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</si>
  <si>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</si>
  <si>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</si>
  <si>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</si>
  <si>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</si>
  <si>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</si>
  <si>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</si>
  <si>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</si>
  <si>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</si>
  <si>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</si>
  <si>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</si>
  <si>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</si>
  <si>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</si>
  <si>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</si>
  <si>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</si>
  <si>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</si>
  <si>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</si>
  <si>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</si>
  <si>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</si>
  <si>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</si>
  <si>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</si>
  <si>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</si>
  <si>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</si>
  <si>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</si>
  <si>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</si>
  <si>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</si>
  <si>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</si>
  <si>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</si>
  <si>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</si>
  <si>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</si>
  <si>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</si>
  <si>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</si>
  <si>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</si>
  <si>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</si>
  <si>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</si>
  <si>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</si>
  <si>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</si>
  <si>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</si>
  <si>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</si>
  <si>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</si>
  <si>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</si>
  <si>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</si>
  <si>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</si>
  <si>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</si>
  <si>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</si>
  <si>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</si>
  <si>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</si>
  <si>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</si>
  <si>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</si>
  <si>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</si>
  <si>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</si>
  <si>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</si>
  <si>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</si>
  <si>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</si>
  <si>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</si>
  <si>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</si>
  <si>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</si>
  <si>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</si>
  <si>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</si>
  <si>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</si>
  <si>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</si>
  <si>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</si>
  <si>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</si>
  <si>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</si>
  <si>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</si>
  <si>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</si>
  <si>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</si>
  <si>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</si>
  <si>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</si>
  <si>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</si>
  <si>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</si>
  <si>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</si>
  <si>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</si>
  <si>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</si>
  <si>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</si>
  <si>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</si>
  <si>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</si>
  <si>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</si>
  <si>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</si>
  <si>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</si>
  <si>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</si>
  <si>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</si>
  <si>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</si>
  <si>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</si>
  <si>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</si>
  <si>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</si>
  <si>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</si>
  <si>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</si>
  <si>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</si>
  <si>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</si>
  <si>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</si>
  <si>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</si>
  <si>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</si>
  <si>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</si>
  <si>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</si>
  <si>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</si>
  <si>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</si>
  <si>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</si>
  <si>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</si>
  <si>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</si>
  <si>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</si>
  <si>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</si>
  <si>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</si>
  <si>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</si>
  <si>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</si>
  <si>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</si>
  <si>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</si>
  <si>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</si>
  <si>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</si>
  <si>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</si>
  <si>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</si>
  <si>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</si>
  <si>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</si>
  <si>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</si>
  <si>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</si>
  <si>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</si>
  <si>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</si>
  <si>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</si>
  <si>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</si>
  <si>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</si>
  <si>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</si>
  <si>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</si>
  <si>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</si>
  <si>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</si>
  <si>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</si>
  <si>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</si>
  <si>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</si>
  <si>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</si>
  <si>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</si>
  <si>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</si>
  <si>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</si>
  <si>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</si>
  <si>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</si>
  <si>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</si>
  <si>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</si>
  <si>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</si>
  <si>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</si>
  <si>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</si>
  <si>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</si>
  <si>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</si>
  <si>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</si>
  <si>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</si>
  <si>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</si>
  <si>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</si>
  <si>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</si>
  <si>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</si>
  <si>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</si>
  <si>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</si>
  <si>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</si>
  <si>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</si>
  <si>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</si>
  <si>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</si>
  <si>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</si>
  <si>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</si>
  <si>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</si>
  <si>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</si>
  <si>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</si>
  <si>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</si>
  <si>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</si>
  <si>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</si>
  <si>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</si>
  <si>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</si>
  <si>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</si>
  <si>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</si>
  <si>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</si>
  <si>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</si>
  <si>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</si>
  <si>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</si>
  <si>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</si>
  <si>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</si>
  <si>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</si>
  <si>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</si>
  <si>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</si>
  <si>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</si>
  <si>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</si>
  <si>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</si>
  <si>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</si>
  <si>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</si>
  <si>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</si>
  <si>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</si>
  <si>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</si>
  <si>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</si>
  <si>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</si>
  <si>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</si>
  <si>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</si>
  <si>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</si>
  <si>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</si>
  <si>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</si>
  <si>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</si>
  <si>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</si>
  <si>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</si>
  <si>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</si>
  <si>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</si>
  <si>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</si>
  <si>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</si>
  <si>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</si>
  <si>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</si>
  <si>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</si>
  <si>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</si>
  <si>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</si>
  <si>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</si>
  <si>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</si>
  <si>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</si>
  <si>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</si>
  <si>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</si>
  <si>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</si>
  <si>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</si>
  <si>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</si>
  <si>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</si>
  <si>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</si>
  <si>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</si>
  <si>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</si>
  <si>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</si>
  <si>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</si>
  <si>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</si>
  <si>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</si>
  <si>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</si>
  <si>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</si>
  <si>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</si>
  <si>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</si>
  <si>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</si>
  <si>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</si>
  <si>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</si>
  <si>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</si>
  <si>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</si>
  <si>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</si>
  <si>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</si>
  <si>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</si>
  <si>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</si>
  <si>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</si>
  <si>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</si>
  <si>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</si>
  <si>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</si>
  <si>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</si>
  <si>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</si>
  <si>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</si>
  <si>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</si>
  <si>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</si>
  <si>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</si>
  <si>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</si>
  <si>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</si>
  <si>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</si>
  <si>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</si>
  <si>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</si>
  <si>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</si>
  <si>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</si>
  <si>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</si>
  <si>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</si>
  <si>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</si>
  <si>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</si>
  <si>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</si>
  <si>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</si>
  <si>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</si>
  <si>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</si>
  <si>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</si>
  <si>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</si>
  <si>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</si>
  <si>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</si>
  <si>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</si>
  <si>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</si>
  <si>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</si>
  <si>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</si>
  <si>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</si>
  <si>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</si>
  <si>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</si>
  <si>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</si>
  <si>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</si>
  <si>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</si>
  <si>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</si>
  <si>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</si>
  <si>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</si>
  <si>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</si>
  <si>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</si>
  <si>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</si>
  <si>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</si>
  <si>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</si>
  <si>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</si>
  <si>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</si>
  <si>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</si>
  <si>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</si>
  <si>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</si>
  <si>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</si>
  <si>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</si>
  <si>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</si>
  <si>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</si>
  <si>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</si>
  <si>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</si>
  <si>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</si>
  <si>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</si>
  <si>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</si>
  <si>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</si>
  <si>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</si>
  <si>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</si>
  <si>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</si>
  <si>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</si>
  <si>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</si>
  <si>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</si>
  <si>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</si>
  <si>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</si>
  <si>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</si>
  <si>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</si>
  <si>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</si>
  <si>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</si>
  <si>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</si>
  <si>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</si>
  <si>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</si>
  <si>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</si>
  <si>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</si>
  <si>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</si>
  <si>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</si>
  <si>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</si>
  <si>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</si>
  <si>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</si>
  <si>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</si>
  <si>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</si>
  <si>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</si>
  <si>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</si>
  <si>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</si>
  <si>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</si>
  <si>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</si>
  <si>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</si>
  <si>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</si>
  <si>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</si>
  <si>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</si>
  <si>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</si>
  <si>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</si>
  <si>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</si>
  <si>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</si>
  <si>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</si>
  <si>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</si>
  <si>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</si>
  <si>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</si>
  <si>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</si>
  <si>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</si>
  <si>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</si>
  <si>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</si>
  <si>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</si>
  <si>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</si>
  <si>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</si>
  <si>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</si>
  <si>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</si>
  <si>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</si>
  <si>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</si>
  <si>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</si>
  <si>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</si>
  <si>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</si>
  <si>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</si>
  <si>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</si>
  <si>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</si>
  <si>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</si>
  <si>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</si>
  <si>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</si>
  <si>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</si>
  <si>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</si>
  <si>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</si>
  <si>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</si>
  <si>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</si>
  <si>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</si>
  <si>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</si>
  <si>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</si>
  <si>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</si>
  <si>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</si>
  <si>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</si>
  <si>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</si>
  <si>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</si>
  <si>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</si>
  <si>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</si>
  <si>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</si>
  <si>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</si>
  <si>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</si>
  <si>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</si>
  <si>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</si>
  <si>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</si>
  <si>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</si>
  <si>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</si>
  <si>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</si>
  <si>
    <t>Increase for Tailblock, Temp Adj &amp; Unbilled</t>
  </si>
  <si>
    <t>Sum Tailblock, Temp Adj &amp; Unbilled Present Revenue</t>
  </si>
  <si>
    <t>Block 1 - No Increase
Tailblock - Class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</si>
</sst>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60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left" wrapText="1"/>
    </xf>
    <xf numFmtId="10" fontId="1" fillId="0" borderId="0" xfId="3" applyNumberFormat="1" applyFont="1" applyFill="1" applyBorder="1"/>
    <xf numFmtId="10" fontId="1" fillId="0" borderId="2" xfId="3" applyNumberFormat="1" applyFont="1" applyFill="1" applyBorder="1"/>
    <xf numFmtId="0" fontId="1" fillId="0" borderId="3" xfId="0" applyFont="1" applyFill="1" applyBorder="1"/>
    <xf numFmtId="5" fontId="1" fillId="0" borderId="13" xfId="0" applyNumberFormat="1" applyFont="1" applyFill="1" applyBorder="1" applyProtection="1"/>
    <xf numFmtId="5" fontId="1" fillId="0" borderId="35" xfId="0" applyNumberFormat="1" applyFont="1" applyFill="1" applyBorder="1" applyProtection="1"/>
    <xf numFmtId="5" fontId="1" fillId="0" borderId="4" xfId="0" applyNumberFormat="1" applyFont="1" applyFill="1" applyBorder="1" applyProtection="1"/>
    <xf numFmtId="10" fontId="1" fillId="0" borderId="5" xfId="3" applyNumberFormat="1" applyFont="1" applyFill="1" applyBorder="1"/>
    <xf numFmtId="5" fontId="1" fillId="0" borderId="6" xfId="0" applyNumberFormat="1" applyFont="1" applyFill="1" applyBorder="1" applyProtection="1"/>
    <xf numFmtId="5" fontId="1" fillId="0" borderId="13" xfId="0" quotePrefix="1" applyNumberFormat="1" applyFont="1" applyFill="1" applyBorder="1" applyAlignment="1" applyProtection="1">
      <alignment horizontal="left"/>
    </xf>
    <xf numFmtId="167" fontId="1" fillId="0" borderId="3" xfId="1" applyNumberFormat="1" applyFont="1" applyFill="1" applyBorder="1"/>
    <xf numFmtId="167" fontId="1" fillId="0" borderId="35" xfId="1" applyNumberFormat="1" applyFont="1" applyFill="1" applyBorder="1"/>
    <xf numFmtId="167" fontId="1" fillId="0" borderId="0" xfId="1" applyNumberFormat="1" applyFont="1" applyFill="1" applyBorder="1" applyProtection="1"/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175" fontId="1" fillId="0" borderId="18" xfId="0" applyNumberFormat="1" applyFont="1" applyFill="1" applyBorder="1" applyProtection="1">
      <protection locked="0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175" fontId="1" fillId="0" borderId="20" xfId="0" applyNumberFormat="1" applyFont="1" applyFill="1" applyBorder="1" applyProtection="1">
      <protection locked="0"/>
    </xf>
    <xf numFmtId="167" fontId="14" fillId="0" borderId="0" xfId="1" applyNumberFormat="1" applyFont="1" applyFill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abSelected="1" workbookViewId="0"/>
  </sheetViews>
  <sheetFormatPr defaultColWidth="8.75" defaultRowHeight="15.75"/>
  <cols>
    <col min="1" max="16384" width="8.75" style="178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G78"/>
  <sheetViews>
    <sheetView zoomScaleNormal="100" zoomScaleSheetLayoutView="80" workbookViewId="0">
      <pane xSplit="6" ySplit="10" topLeftCell="G11" activePane="bottomRight" state="frozen"/>
      <selection activeCellId="1" sqref="A1:J1 A1:XFD1048576"/>
      <selection pane="topRight" activeCellId="1" sqref="A1:J1 A1:XFD1048576"/>
      <selection pane="bottomLeft" activeCellId="1" sqref="A1:J1 A1:XFD1048576"/>
      <selection pane="bottomRight" activeCell="G11" sqref="G11"/>
    </sheetView>
  </sheetViews>
  <sheetFormatPr defaultColWidth="10.25" defaultRowHeight="15.75"/>
  <cols>
    <col min="1" max="1" width="31.375" style="178" bestFit="1" customWidth="1"/>
    <col min="2" max="2" width="1.375" style="178" bestFit="1" customWidth="1"/>
    <col min="3" max="3" width="13.25" style="178" bestFit="1" customWidth="1"/>
    <col min="4" max="4" width="10.75" style="178" bestFit="1" customWidth="1"/>
    <col min="5" max="5" width="2" style="178" bestFit="1" customWidth="1"/>
    <col min="6" max="6" width="12.625" style="178" bestFit="1" customWidth="1"/>
    <col min="7" max="7" width="10.75" style="178" bestFit="1" customWidth="1"/>
    <col min="8" max="8" width="2" style="178" bestFit="1" customWidth="1"/>
    <col min="9" max="9" width="16.125" style="178" customWidth="1"/>
    <col min="10" max="10" width="1.625" style="178" customWidth="1"/>
    <col min="11" max="11" width="23.875" style="178" bestFit="1" customWidth="1"/>
    <col min="12" max="12" width="12.625" style="96" bestFit="1" customWidth="1"/>
    <col min="13" max="13" width="12.125" style="96" bestFit="1" customWidth="1"/>
    <col min="14" max="14" width="7.125" style="96" bestFit="1" customWidth="1"/>
    <col min="15" max="15" width="7.125" style="178" bestFit="1" customWidth="1"/>
    <col min="16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33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33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33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33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3">
      <c r="A5" s="29" t="s">
        <v>122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3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3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3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3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3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33">
      <c r="A12" s="230" t="s">
        <v>121</v>
      </c>
      <c r="B12" s="99"/>
      <c r="C12" s="97"/>
      <c r="D12" s="181"/>
      <c r="E12" s="99"/>
      <c r="F12" s="99"/>
      <c r="G12" s="181"/>
      <c r="H12" s="99"/>
      <c r="I12" s="181" t="s">
        <v>0</v>
      </c>
      <c r="J12" s="181"/>
      <c r="L12" s="178"/>
      <c r="M12" s="178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33">
      <c r="A13" s="230" t="s">
        <v>123</v>
      </c>
      <c r="B13" s="99"/>
      <c r="C13" s="99" t="s">
        <v>0</v>
      </c>
      <c r="D13" s="181"/>
      <c r="E13" s="99"/>
      <c r="F13" s="99"/>
      <c r="G13" s="181"/>
      <c r="H13" s="99"/>
      <c r="I13" s="99"/>
      <c r="J13" s="99"/>
      <c r="L13" s="178"/>
      <c r="M13" s="178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33">
      <c r="A14" s="99"/>
      <c r="B14" s="99"/>
      <c r="C14" s="99"/>
      <c r="D14" s="181"/>
      <c r="E14" s="99"/>
      <c r="F14" s="99"/>
      <c r="G14" s="181"/>
      <c r="H14" s="99"/>
      <c r="I14" s="99"/>
      <c r="J14" s="99"/>
      <c r="K14" s="90"/>
      <c r="L14" s="91"/>
      <c r="M14" s="91"/>
      <c r="N14" s="91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33">
      <c r="A15" s="99" t="s">
        <v>41</v>
      </c>
      <c r="B15" s="99"/>
      <c r="C15" s="97">
        <v>5942</v>
      </c>
      <c r="D15" s="237">
        <f>'Exhibit No.__(JAP-Tariff)'!E74</f>
        <v>343.66</v>
      </c>
      <c r="E15" s="99"/>
      <c r="F15" s="181">
        <f>ROUND(D15*$C15,0)</f>
        <v>2042028</v>
      </c>
      <c r="G15" s="237">
        <f>ROUND(D15*(1+$M$31),2)</f>
        <v>369.66</v>
      </c>
      <c r="H15" s="99"/>
      <c r="I15" s="181">
        <f>ROUND(G15*$C15,0)</f>
        <v>2196520</v>
      </c>
      <c r="J15" s="181"/>
      <c r="K15" s="329" t="s">
        <v>86</v>
      </c>
      <c r="L15" s="329"/>
      <c r="M15" s="329"/>
      <c r="N15" s="91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33">
      <c r="A16" s="99" t="s">
        <v>44</v>
      </c>
      <c r="B16" s="99"/>
      <c r="C16" s="97"/>
      <c r="D16" s="42"/>
      <c r="E16" s="181"/>
      <c r="F16" s="181"/>
      <c r="G16" s="42"/>
      <c r="H16" s="181"/>
      <c r="I16" s="181"/>
      <c r="J16" s="181"/>
      <c r="K16" s="90"/>
      <c r="L16" s="91"/>
      <c r="M16" s="91"/>
      <c r="N16" s="91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>
      <c r="A17" s="189" t="s">
        <v>49</v>
      </c>
      <c r="B17" s="99"/>
      <c r="C17" s="97">
        <v>1411471567</v>
      </c>
      <c r="D17" s="239">
        <f>'Exhibit No.__(JAP-Tariff)'!E76</f>
        <v>5.5014E-2</v>
      </c>
      <c r="E17" s="181"/>
      <c r="F17" s="181">
        <f t="shared" ref="F17" si="0">ROUND($C17*D17,0)</f>
        <v>77650697</v>
      </c>
      <c r="G17" s="239">
        <f>ROUND(D17*(1+$M$31),6)+L33</f>
        <v>5.9171000000000001E-2</v>
      </c>
      <c r="H17" s="181"/>
      <c r="I17" s="181">
        <f t="shared" ref="I17" si="1">ROUND($C17*G17,0)</f>
        <v>83518184</v>
      </c>
      <c r="J17" s="181"/>
      <c r="K17" s="329" t="s">
        <v>126</v>
      </c>
      <c r="L17" s="329"/>
      <c r="M17" s="329"/>
      <c r="N17" s="91"/>
      <c r="O17" s="90"/>
      <c r="P17" s="90"/>
      <c r="Q17" s="90"/>
      <c r="R17" s="97"/>
      <c r="S17" s="90"/>
      <c r="T17" s="97"/>
      <c r="U17" s="90"/>
      <c r="V17" s="90"/>
      <c r="W17" s="90"/>
      <c r="X17" s="90"/>
      <c r="Y17" s="90"/>
      <c r="Z17" s="90"/>
    </row>
    <row r="18" spans="1:26">
      <c r="A18" s="223" t="s">
        <v>34</v>
      </c>
      <c r="B18" s="99"/>
      <c r="C18" s="112">
        <f>SUM(C17:C17)</f>
        <v>1411471567</v>
      </c>
      <c r="D18" s="253"/>
      <c r="E18" s="99"/>
      <c r="F18" s="115">
        <f>SUM(F17:F17)</f>
        <v>77650697</v>
      </c>
      <c r="G18" s="253"/>
      <c r="H18" s="99"/>
      <c r="I18" s="115">
        <f>SUM(I17:I17)</f>
        <v>83518184</v>
      </c>
      <c r="J18" s="181"/>
      <c r="K18" s="90"/>
      <c r="L18" s="91"/>
      <c r="M18" s="91"/>
      <c r="N18" s="91"/>
      <c r="O18" s="90"/>
      <c r="P18" s="90"/>
      <c r="Q18" s="90"/>
      <c r="R18" s="90"/>
      <c r="S18" s="90"/>
      <c r="T18" s="97"/>
      <c r="U18" s="90"/>
      <c r="V18" s="90"/>
      <c r="W18" s="90"/>
      <c r="X18" s="90"/>
      <c r="Y18" s="90"/>
      <c r="Z18" s="90"/>
    </row>
    <row r="19" spans="1:26">
      <c r="A19" s="189" t="s">
        <v>77</v>
      </c>
      <c r="B19" s="99"/>
      <c r="C19" s="97">
        <v>-1088736.8332244002</v>
      </c>
      <c r="D19" s="239">
        <f>D17</f>
        <v>5.5014E-2</v>
      </c>
      <c r="E19" s="99"/>
      <c r="F19" s="181">
        <f t="shared" ref="F19" si="2">ROUND($C19*D19,0)</f>
        <v>-59896</v>
      </c>
      <c r="G19" s="239">
        <f>G17</f>
        <v>5.9171000000000001E-2</v>
      </c>
      <c r="H19" s="99"/>
      <c r="I19" s="181">
        <f t="shared" ref="I19:I20" si="3">ROUND($C19*G19,0)</f>
        <v>-64422</v>
      </c>
      <c r="J19" s="181"/>
      <c r="K19" s="45"/>
      <c r="L19" s="91"/>
      <c r="M19" s="91"/>
      <c r="N19" s="91"/>
      <c r="O19" s="90"/>
      <c r="P19" s="90"/>
      <c r="Q19" s="90"/>
      <c r="R19" s="97"/>
      <c r="S19" s="97"/>
      <c r="T19" s="97"/>
      <c r="U19" s="90"/>
      <c r="V19" s="90"/>
      <c r="W19" s="90"/>
      <c r="X19" s="90"/>
      <c r="Y19" s="90"/>
      <c r="Z19" s="90"/>
    </row>
    <row r="20" spans="1:26">
      <c r="A20" s="118" t="s">
        <v>79</v>
      </c>
      <c r="B20" s="99"/>
      <c r="C20" s="109">
        <v>-2787481.9964697435</v>
      </c>
      <c r="D20" s="239">
        <f>ROUND(F20/C20,6)</f>
        <v>6.6243999999999997E-2</v>
      </c>
      <c r="E20" s="99"/>
      <c r="F20" s="181">
        <v>-184655</v>
      </c>
      <c r="G20" s="239">
        <f>ROUND(D20*(1+$M$31),6)</f>
        <v>7.1256E-2</v>
      </c>
      <c r="H20" s="99"/>
      <c r="I20" s="181">
        <f t="shared" si="3"/>
        <v>-198625</v>
      </c>
      <c r="J20" s="100"/>
      <c r="K20" s="329" t="s">
        <v>86</v>
      </c>
      <c r="L20" s="329"/>
      <c r="M20" s="329"/>
      <c r="R20" s="109"/>
      <c r="S20" s="109"/>
      <c r="T20" s="109"/>
    </row>
    <row r="21" spans="1:26">
      <c r="A21" s="223" t="s">
        <v>34</v>
      </c>
      <c r="B21" s="99"/>
      <c r="C21" s="112">
        <f>SUM(C18:C20)</f>
        <v>1407595348.170306</v>
      </c>
      <c r="D21" s="99"/>
      <c r="E21" s="99"/>
      <c r="F21" s="115">
        <f>SUM(F18:F20)</f>
        <v>77406146</v>
      </c>
      <c r="G21" s="99"/>
      <c r="H21" s="99"/>
      <c r="I21" s="115">
        <f>SUM(I18:I20)</f>
        <v>83255137</v>
      </c>
      <c r="J21" s="100"/>
      <c r="K21" s="45"/>
      <c r="L21" s="91"/>
      <c r="M21" s="91"/>
      <c r="T21" s="109"/>
    </row>
    <row r="22" spans="1:26">
      <c r="A22" s="99" t="s">
        <v>43</v>
      </c>
      <c r="B22" s="99"/>
      <c r="C22" s="97"/>
      <c r="D22" s="244"/>
      <c r="E22" s="99"/>
      <c r="F22" s="181"/>
      <c r="G22" s="244"/>
      <c r="H22" s="99"/>
      <c r="I22" s="181"/>
      <c r="J22" s="181"/>
      <c r="K22" s="45"/>
      <c r="L22" s="39"/>
      <c r="M22" s="91"/>
    </row>
    <row r="23" spans="1:26">
      <c r="A23" s="189" t="s">
        <v>100</v>
      </c>
      <c r="B23" s="99"/>
      <c r="C23" s="97">
        <v>1708564</v>
      </c>
      <c r="D23" s="237">
        <f>'Exhibit No.__(JAP-Tariff)'!E78</f>
        <v>11.46</v>
      </c>
      <c r="E23" s="99"/>
      <c r="F23" s="181">
        <f>ROUND(D23*$C23,0)</f>
        <v>19580143</v>
      </c>
      <c r="G23" s="237">
        <f>ROUND(D23*(1+$M$31),2)</f>
        <v>12.33</v>
      </c>
      <c r="H23" s="99"/>
      <c r="I23" s="181">
        <f>ROUND(G23*$C23,0)</f>
        <v>21066594</v>
      </c>
      <c r="J23" s="181"/>
      <c r="K23" s="329" t="s">
        <v>86</v>
      </c>
      <c r="L23" s="329"/>
      <c r="M23" s="329"/>
      <c r="N23" s="178"/>
    </row>
    <row r="24" spans="1:26">
      <c r="A24" s="189" t="s">
        <v>101</v>
      </c>
      <c r="B24" s="99"/>
      <c r="C24" s="97">
        <v>1755251</v>
      </c>
      <c r="D24" s="237">
        <f>'Exhibit No.__(JAP-Tariff)'!E81</f>
        <v>7.64</v>
      </c>
      <c r="E24" s="99"/>
      <c r="F24" s="181">
        <f>ROUND(D24*$C24,0)</f>
        <v>13410118</v>
      </c>
      <c r="G24" s="237">
        <f>ROUND(D24*(1+$M$31),2)</f>
        <v>8.2200000000000006</v>
      </c>
      <c r="H24" s="99"/>
      <c r="I24" s="181">
        <f>ROUND(G24*$C24,0)</f>
        <v>14428163</v>
      </c>
      <c r="J24" s="181"/>
      <c r="K24" s="329" t="s">
        <v>86</v>
      </c>
      <c r="L24" s="329"/>
      <c r="M24" s="329"/>
      <c r="N24" s="178"/>
    </row>
    <row r="25" spans="1:26">
      <c r="A25" s="223" t="s">
        <v>34</v>
      </c>
      <c r="B25" s="99"/>
      <c r="C25" s="112">
        <f>SUM(C23:C24)</f>
        <v>3463815</v>
      </c>
      <c r="D25" s="244"/>
      <c r="E25" s="99"/>
      <c r="F25" s="115">
        <f>SUM(F23:F24)</f>
        <v>32990261</v>
      </c>
      <c r="G25" s="244"/>
      <c r="H25" s="99"/>
      <c r="I25" s="115">
        <f>SUM(I23:I24)</f>
        <v>35494757</v>
      </c>
      <c r="J25" s="181"/>
      <c r="K25" s="45"/>
      <c r="L25" s="91"/>
      <c r="M25" s="91"/>
    </row>
    <row r="26" spans="1:26">
      <c r="A26" s="99"/>
      <c r="B26" s="99"/>
      <c r="C26" s="109"/>
      <c r="D26" s="109"/>
      <c r="E26" s="99"/>
      <c r="F26" s="100"/>
      <c r="G26" s="109"/>
      <c r="H26" s="99"/>
      <c r="I26" s="100"/>
      <c r="J26" s="100"/>
      <c r="K26" s="45"/>
      <c r="L26" s="91"/>
      <c r="M26" s="91"/>
    </row>
    <row r="27" spans="1:26">
      <c r="A27" s="99" t="s">
        <v>96</v>
      </c>
      <c r="B27" s="99"/>
      <c r="C27" s="97">
        <v>743654859</v>
      </c>
      <c r="D27" s="245">
        <f>'Exhibit No.__(JAP-Tariff)'!E85</f>
        <v>1.07E-3</v>
      </c>
      <c r="E27" s="99"/>
      <c r="F27" s="181">
        <f>ROUND(D27*$C27,0)</f>
        <v>795711</v>
      </c>
      <c r="G27" s="245">
        <f>ROUND(D27*(1+$M$31),5)</f>
        <v>1.15E-3</v>
      </c>
      <c r="H27" s="99"/>
      <c r="I27" s="181">
        <f>ROUND(G27*$C27,0)</f>
        <v>855203</v>
      </c>
      <c r="J27" s="100"/>
      <c r="K27" s="329" t="s">
        <v>86</v>
      </c>
      <c r="L27" s="329"/>
      <c r="M27" s="329"/>
    </row>
    <row r="28" spans="1:26">
      <c r="A28" s="99"/>
      <c r="B28" s="99"/>
      <c r="C28" s="109"/>
      <c r="D28" s="109"/>
      <c r="E28" s="99"/>
      <c r="F28" s="100"/>
      <c r="G28" s="109"/>
      <c r="H28" s="99"/>
      <c r="I28" s="100"/>
      <c r="J28" s="100"/>
      <c r="K28" s="252"/>
      <c r="L28" s="39"/>
      <c r="M28" s="91"/>
    </row>
    <row r="29" spans="1:26" ht="16.5" thickBot="1">
      <c r="A29" s="99" t="s">
        <v>38</v>
      </c>
      <c r="B29" s="99"/>
      <c r="C29" s="109"/>
      <c r="D29" s="109"/>
      <c r="E29" s="99"/>
      <c r="F29" s="105">
        <f>SUM(F15,F21,F25,F27)</f>
        <v>113234146</v>
      </c>
      <c r="G29" s="109"/>
      <c r="H29" s="99"/>
      <c r="I29" s="105">
        <f>SUM(I15,I21,I25,I27)</f>
        <v>121801617</v>
      </c>
      <c r="J29" s="100"/>
      <c r="K29" s="252"/>
      <c r="L29" s="39"/>
      <c r="M29" s="91"/>
    </row>
    <row r="30" spans="1:26" ht="16.5" thickTop="1">
      <c r="A30" s="99"/>
      <c r="B30" s="117"/>
      <c r="C30" s="109"/>
      <c r="D30" s="109"/>
      <c r="E30" s="99"/>
      <c r="F30" s="181"/>
      <c r="G30" s="109"/>
      <c r="H30" s="99"/>
      <c r="I30" s="181"/>
      <c r="J30" s="181"/>
      <c r="K30" s="252"/>
      <c r="L30" s="39"/>
      <c r="M30" s="91"/>
    </row>
    <row r="31" spans="1:26">
      <c r="A31" s="172" t="s">
        <v>441</v>
      </c>
      <c r="C31" s="254"/>
      <c r="D31" s="255">
        <f>ROUND(SUM(F25)/SUM($C$25),2)</f>
        <v>9.52</v>
      </c>
      <c r="G31" s="255">
        <f>ROUND(SUM(I25)/SUM($C$25),2)</f>
        <v>10.25</v>
      </c>
      <c r="K31" s="116" t="s">
        <v>324</v>
      </c>
      <c r="L31" s="107">
        <f>'Exhibit No.__(JAP-Rate Spread)'!K17*1000</f>
        <v>121801224.10316767</v>
      </c>
      <c r="M31" s="108">
        <f>L31/SUM(F29)-1</f>
        <v>7.5658080232862579E-2</v>
      </c>
    </row>
    <row r="32" spans="1:26">
      <c r="B32" s="99"/>
      <c r="C32" s="97"/>
      <c r="D32" s="181"/>
      <c r="E32" s="99"/>
      <c r="F32" s="99"/>
      <c r="G32" s="181"/>
      <c r="H32" s="99"/>
      <c r="I32" s="181" t="s">
        <v>0</v>
      </c>
      <c r="J32" s="181"/>
      <c r="K32" s="110" t="s">
        <v>37</v>
      </c>
      <c r="L32" s="111">
        <f>L31-I29</f>
        <v>-392.89683233201504</v>
      </c>
      <c r="M32" s="43" t="s">
        <v>0</v>
      </c>
    </row>
    <row r="33" spans="1:13">
      <c r="K33" s="201" t="s">
        <v>334</v>
      </c>
      <c r="L33" s="137">
        <f>'Exhibit No.__(JAP-SV RD)'!P5</f>
        <v>-5.0000000000000004E-6</v>
      </c>
      <c r="M33" s="137">
        <f>L32/C17</f>
        <v>-2.7835972152601996E-7</v>
      </c>
    </row>
    <row r="34" spans="1:13">
      <c r="A34" s="230" t="s">
        <v>124</v>
      </c>
      <c r="B34" s="99"/>
      <c r="C34" s="97"/>
      <c r="D34" s="181"/>
      <c r="E34" s="99"/>
      <c r="F34" s="99"/>
      <c r="G34" s="181"/>
      <c r="H34" s="99"/>
      <c r="I34" s="181" t="s">
        <v>0</v>
      </c>
      <c r="J34" s="181"/>
      <c r="L34" s="178"/>
      <c r="M34" s="178"/>
    </row>
    <row r="35" spans="1:13">
      <c r="A35" s="230" t="s">
        <v>123</v>
      </c>
      <c r="B35" s="99"/>
      <c r="C35" s="99" t="s">
        <v>0</v>
      </c>
      <c r="D35" s="181"/>
      <c r="E35" s="99"/>
      <c r="F35" s="99"/>
      <c r="G35" s="181"/>
      <c r="H35" s="99"/>
      <c r="I35" s="99"/>
      <c r="J35" s="99"/>
      <c r="L35" s="178"/>
      <c r="M35" s="178"/>
    </row>
    <row r="36" spans="1:13">
      <c r="A36" s="99"/>
      <c r="B36" s="99"/>
      <c r="C36" s="99"/>
      <c r="D36" s="181"/>
      <c r="E36" s="99"/>
      <c r="F36" s="99"/>
      <c r="G36" s="181"/>
      <c r="H36" s="99"/>
      <c r="I36" s="99"/>
      <c r="J36" s="99"/>
      <c r="K36" s="90"/>
      <c r="L36" s="91"/>
      <c r="M36" s="91"/>
    </row>
    <row r="37" spans="1:13">
      <c r="A37" s="99" t="s">
        <v>41</v>
      </c>
      <c r="B37" s="99"/>
      <c r="C37" s="97">
        <v>39</v>
      </c>
      <c r="D37" s="237">
        <f>'Exhibit No.__(JAP-Tariff)'!E88</f>
        <v>343.66</v>
      </c>
      <c r="E37" s="99"/>
      <c r="F37" s="181">
        <f>ROUND(D37*$C37,0)</f>
        <v>13403</v>
      </c>
      <c r="G37" s="237">
        <f>G15</f>
        <v>369.66</v>
      </c>
      <c r="H37" s="99"/>
      <c r="I37" s="181">
        <f>ROUND(G37*$C37,0)</f>
        <v>14417</v>
      </c>
      <c r="J37" s="181"/>
      <c r="K37" s="329" t="s">
        <v>125</v>
      </c>
      <c r="L37" s="329"/>
      <c r="M37" s="329"/>
    </row>
    <row r="38" spans="1:13">
      <c r="A38" s="99" t="s">
        <v>44</v>
      </c>
      <c r="B38" s="99"/>
      <c r="C38" s="97"/>
      <c r="D38" s="42"/>
      <c r="E38" s="181"/>
      <c r="F38" s="181"/>
      <c r="G38" s="42"/>
      <c r="H38" s="181"/>
      <c r="I38" s="181"/>
      <c r="J38" s="181"/>
      <c r="K38" s="90"/>
      <c r="L38" s="91"/>
      <c r="M38" s="91"/>
    </row>
    <row r="39" spans="1:13">
      <c r="A39" s="189" t="s">
        <v>49</v>
      </c>
      <c r="B39" s="99"/>
      <c r="C39" s="97">
        <v>4447380</v>
      </c>
      <c r="D39" s="239">
        <f>'Exhibit No.__(JAP-Tariff)'!E90</f>
        <v>4.9973999999999998E-2</v>
      </c>
      <c r="E39" s="181"/>
      <c r="F39" s="181">
        <f t="shared" ref="F39" si="4">ROUND($C39*D39,0)</f>
        <v>222253</v>
      </c>
      <c r="G39" s="239">
        <f>ROUND(D39*(1+$M$54),6)+L56</f>
        <v>5.5737000000000002E-2</v>
      </c>
      <c r="H39" s="181"/>
      <c r="I39" s="181">
        <f t="shared" ref="I39" si="5">ROUND($C39*G39,0)</f>
        <v>247884</v>
      </c>
      <c r="J39" s="181"/>
      <c r="K39" s="330" t="s">
        <v>323</v>
      </c>
      <c r="L39" s="329"/>
      <c r="M39" s="329"/>
    </row>
    <row r="40" spans="1:13">
      <c r="A40" s="223" t="s">
        <v>34</v>
      </c>
      <c r="B40" s="99"/>
      <c r="C40" s="112">
        <f>SUM(C39:C39)</f>
        <v>4447380</v>
      </c>
      <c r="D40" s="253"/>
      <c r="E40" s="99"/>
      <c r="F40" s="115">
        <f>SUM(F39:F39)</f>
        <v>222253</v>
      </c>
      <c r="G40" s="253"/>
      <c r="H40" s="99"/>
      <c r="I40" s="115">
        <f>SUM(I39:I39)</f>
        <v>247884</v>
      </c>
      <c r="J40" s="181"/>
      <c r="K40" s="90"/>
      <c r="L40" s="91"/>
      <c r="M40" s="91"/>
    </row>
    <row r="41" spans="1:13">
      <c r="A41" s="189" t="s">
        <v>77</v>
      </c>
      <c r="B41" s="99"/>
      <c r="C41" s="97">
        <v>0</v>
      </c>
      <c r="D41" s="239">
        <f>D39</f>
        <v>4.9973999999999998E-2</v>
      </c>
      <c r="E41" s="99"/>
      <c r="F41" s="181">
        <f t="shared" ref="F41" si="6">ROUND($C41*D41,0)</f>
        <v>0</v>
      </c>
      <c r="G41" s="239">
        <f>G39</f>
        <v>5.5737000000000002E-2</v>
      </c>
      <c r="H41" s="99"/>
      <c r="I41" s="181">
        <f t="shared" ref="I41:I42" si="7">ROUND($C41*G41,0)</f>
        <v>0</v>
      </c>
      <c r="J41" s="181"/>
      <c r="K41" s="45"/>
      <c r="L41" s="91"/>
      <c r="M41" s="91"/>
    </row>
    <row r="42" spans="1:13">
      <c r="A42" s="118" t="s">
        <v>79</v>
      </c>
      <c r="B42" s="99"/>
      <c r="C42" s="109">
        <v>-3720</v>
      </c>
      <c r="D42" s="239">
        <f>ROUND(F42/C42,6)</f>
        <v>0.107796</v>
      </c>
      <c r="E42" s="99"/>
      <c r="F42" s="181">
        <v>-401</v>
      </c>
      <c r="G42" s="239">
        <f>ROUND(D42*(1+$M$52),6)</f>
        <v>0.120029</v>
      </c>
      <c r="H42" s="99"/>
      <c r="I42" s="181">
        <f t="shared" si="7"/>
        <v>-447</v>
      </c>
      <c r="J42" s="100"/>
      <c r="K42" s="330" t="s">
        <v>86</v>
      </c>
      <c r="L42" s="329"/>
      <c r="M42" s="329"/>
    </row>
    <row r="43" spans="1:13">
      <c r="A43" s="223" t="s">
        <v>34</v>
      </c>
      <c r="B43" s="99"/>
      <c r="C43" s="112">
        <f>SUM(C40:C42)</f>
        <v>4443660</v>
      </c>
      <c r="D43" s="99"/>
      <c r="E43" s="99"/>
      <c r="F43" s="115">
        <f>SUM(F40:F42)</f>
        <v>221852</v>
      </c>
      <c r="G43" s="99"/>
      <c r="H43" s="99"/>
      <c r="I43" s="115">
        <f>SUM(I40:I42)</f>
        <v>247437</v>
      </c>
      <c r="J43" s="100"/>
      <c r="K43" s="45"/>
      <c r="L43" s="91"/>
      <c r="M43" s="91"/>
    </row>
    <row r="44" spans="1:13">
      <c r="A44" s="99" t="s">
        <v>43</v>
      </c>
      <c r="B44" s="99"/>
      <c r="C44" s="97"/>
      <c r="D44" s="244"/>
      <c r="E44" s="99"/>
      <c r="F44" s="181"/>
      <c r="G44" s="244"/>
      <c r="H44" s="99"/>
      <c r="I44" s="181"/>
      <c r="J44" s="181"/>
      <c r="K44" s="45"/>
      <c r="L44" s="39"/>
      <c r="M44" s="91"/>
    </row>
    <row r="45" spans="1:13">
      <c r="A45" s="189" t="s">
        <v>100</v>
      </c>
      <c r="B45" s="99"/>
      <c r="C45" s="97">
        <v>1325</v>
      </c>
      <c r="D45" s="237">
        <f>'Exhibit No.__(JAP-Tariff)'!E92</f>
        <v>4.62</v>
      </c>
      <c r="E45" s="99"/>
      <c r="F45" s="181">
        <f>ROUND(D45*$C45,0)</f>
        <v>6122</v>
      </c>
      <c r="G45" s="237">
        <f>ROUND(D45*(1+$M$54),2)</f>
        <v>5.15</v>
      </c>
      <c r="H45" s="99"/>
      <c r="I45" s="181">
        <f>ROUND(G45*$C45,0)</f>
        <v>6824</v>
      </c>
      <c r="J45" s="181"/>
      <c r="K45" s="330" t="s">
        <v>323</v>
      </c>
      <c r="L45" s="329"/>
      <c r="M45" s="329"/>
    </row>
    <row r="46" spans="1:13">
      <c r="A46" s="189" t="s">
        <v>101</v>
      </c>
      <c r="B46" s="99"/>
      <c r="C46" s="97">
        <v>7774</v>
      </c>
      <c r="D46" s="237">
        <f>'Exhibit No.__(JAP-Tariff)'!E93</f>
        <v>3.08</v>
      </c>
      <c r="E46" s="99"/>
      <c r="F46" s="181">
        <f>ROUND(D46*$C46,0)</f>
        <v>23944</v>
      </c>
      <c r="G46" s="237">
        <f>ROUND(D46*(1+$M$54),2)</f>
        <v>3.44</v>
      </c>
      <c r="H46" s="99"/>
      <c r="I46" s="181">
        <f>ROUND(G46*$C46,0)</f>
        <v>26743</v>
      </c>
      <c r="J46" s="181"/>
      <c r="K46" s="330" t="s">
        <v>323</v>
      </c>
      <c r="L46" s="329"/>
      <c r="M46" s="329"/>
    </row>
    <row r="47" spans="1:13">
      <c r="A47" s="223" t="s">
        <v>34</v>
      </c>
      <c r="B47" s="99"/>
      <c r="C47" s="112">
        <f>SUM(C45:C46)</f>
        <v>9099</v>
      </c>
      <c r="D47" s="244"/>
      <c r="E47" s="99"/>
      <c r="F47" s="115">
        <f>SUM(F45:F46)</f>
        <v>30066</v>
      </c>
      <c r="G47" s="244"/>
      <c r="H47" s="99"/>
      <c r="I47" s="115">
        <f>SUM(I45:I46)</f>
        <v>33567</v>
      </c>
      <c r="J47" s="181"/>
      <c r="K47" s="45"/>
      <c r="L47" s="91"/>
      <c r="M47" s="91"/>
    </row>
    <row r="48" spans="1:13">
      <c r="A48" s="99"/>
      <c r="B48" s="99"/>
      <c r="C48" s="109"/>
      <c r="D48" s="109"/>
      <c r="E48" s="99"/>
      <c r="F48" s="100"/>
      <c r="G48" s="109"/>
      <c r="H48" s="99"/>
      <c r="I48" s="100"/>
      <c r="J48" s="100"/>
      <c r="K48" s="45"/>
      <c r="L48" s="91"/>
      <c r="M48" s="91"/>
    </row>
    <row r="49" spans="1:13">
      <c r="A49" s="99" t="s">
        <v>96</v>
      </c>
      <c r="B49" s="99"/>
      <c r="C49" s="97">
        <v>2426891</v>
      </c>
      <c r="D49" s="245">
        <f>'Exhibit No.__(JAP-Tariff)'!E95</f>
        <v>1.1100000000000001E-3</v>
      </c>
      <c r="E49" s="99"/>
      <c r="F49" s="181">
        <f>ROUND(D49*$C49,0)</f>
        <v>2694</v>
      </c>
      <c r="G49" s="245">
        <f>ROUND(D49*(1+$M$54),5)</f>
        <v>1.24E-3</v>
      </c>
      <c r="H49" s="99"/>
      <c r="I49" s="181">
        <f>ROUND(G49*$C49,0)</f>
        <v>3009</v>
      </c>
      <c r="J49" s="100"/>
      <c r="K49" s="330" t="s">
        <v>323</v>
      </c>
      <c r="L49" s="329"/>
      <c r="M49" s="329"/>
    </row>
    <row r="50" spans="1:13">
      <c r="A50" s="99"/>
      <c r="B50" s="99"/>
      <c r="C50" s="109"/>
      <c r="D50" s="109"/>
      <c r="E50" s="99"/>
      <c r="F50" s="100"/>
      <c r="G50" s="109"/>
      <c r="H50" s="99"/>
      <c r="I50" s="100"/>
      <c r="J50" s="100"/>
      <c r="K50" s="252"/>
      <c r="L50" s="39"/>
      <c r="M50" s="91"/>
    </row>
    <row r="51" spans="1:13" ht="16.5" thickBot="1">
      <c r="A51" s="99" t="s">
        <v>38</v>
      </c>
      <c r="B51" s="99"/>
      <c r="C51" s="109"/>
      <c r="D51" s="109"/>
      <c r="E51" s="99"/>
      <c r="F51" s="105">
        <f>SUM(F37,F43,F47,F49)</f>
        <v>268015</v>
      </c>
      <c r="G51" s="109"/>
      <c r="H51" s="99"/>
      <c r="I51" s="105">
        <f>SUM(I37,I43,I47,I49)</f>
        <v>298430</v>
      </c>
      <c r="J51" s="100"/>
    </row>
    <row r="52" spans="1:13" ht="16.5" thickTop="1">
      <c r="A52" s="99"/>
      <c r="B52" s="117"/>
      <c r="C52" s="109"/>
      <c r="D52" s="109"/>
      <c r="E52" s="99"/>
      <c r="F52" s="181"/>
      <c r="G52" s="109"/>
      <c r="H52" s="99"/>
      <c r="I52" s="181"/>
      <c r="J52" s="181"/>
      <c r="K52" s="116" t="s">
        <v>321</v>
      </c>
      <c r="L52" s="107">
        <f>'Exhibit No.__(JAP-Rate Spread)'!M18</f>
        <v>30416.250560415985</v>
      </c>
      <c r="M52" s="108">
        <f>L52/F51</f>
        <v>0.11348712034929383</v>
      </c>
    </row>
    <row r="53" spans="1:13">
      <c r="A53" s="99"/>
      <c r="B53" s="117"/>
      <c r="C53" s="109"/>
      <c r="D53" s="109"/>
      <c r="E53" s="99"/>
      <c r="F53" s="181"/>
      <c r="G53" s="109"/>
      <c r="H53" s="99"/>
      <c r="I53" s="181"/>
      <c r="J53" s="181"/>
      <c r="K53" s="256" t="s">
        <v>322</v>
      </c>
      <c r="L53" s="21">
        <f>-(I37-F37)</f>
        <v>-1014</v>
      </c>
      <c r="M53" s="248"/>
    </row>
    <row r="54" spans="1:13">
      <c r="A54" s="99"/>
      <c r="B54" s="117"/>
      <c r="C54" s="109"/>
      <c r="D54" s="109"/>
      <c r="E54" s="99"/>
      <c r="F54" s="181"/>
      <c r="G54" s="109"/>
      <c r="H54" s="99"/>
      <c r="I54" s="181"/>
      <c r="J54" s="181"/>
      <c r="K54" s="256" t="s">
        <v>304</v>
      </c>
      <c r="L54" s="21">
        <f>SUM(L52:L53)</f>
        <v>29402.250560415985</v>
      </c>
      <c r="M54" s="250">
        <f>L54/(F51-F37)</f>
        <v>0.1154786520683078</v>
      </c>
    </row>
    <row r="55" spans="1:13">
      <c r="A55" s="99"/>
      <c r="B55" s="117"/>
      <c r="C55" s="109"/>
      <c r="D55" s="109"/>
      <c r="E55" s="99"/>
      <c r="F55" s="181"/>
      <c r="G55" s="109"/>
      <c r="H55" s="99"/>
      <c r="I55" s="181"/>
      <c r="J55" s="181"/>
      <c r="K55" s="251" t="s">
        <v>37</v>
      </c>
      <c r="L55" s="111">
        <f>L52-(I51-F51)</f>
        <v>1.2505604159850918</v>
      </c>
      <c r="M55" s="43" t="s">
        <v>0</v>
      </c>
    </row>
    <row r="56" spans="1:13">
      <c r="A56" s="99"/>
      <c r="B56" s="117"/>
      <c r="C56" s="109"/>
      <c r="D56" s="109"/>
      <c r="E56" s="99"/>
      <c r="F56" s="181"/>
      <c r="G56" s="109"/>
      <c r="H56" s="99"/>
      <c r="I56" s="181"/>
      <c r="J56" s="181"/>
      <c r="K56" s="201" t="s">
        <v>334</v>
      </c>
      <c r="L56" s="137">
        <f>'Exhibit No.__(JAP-SV RD)'!P6</f>
        <v>-7.9999999999999996E-6</v>
      </c>
      <c r="M56" s="137">
        <f>L55/C39</f>
        <v>2.8119036735900501E-7</v>
      </c>
    </row>
    <row r="57" spans="1:13">
      <c r="A57" s="230" t="s">
        <v>129</v>
      </c>
      <c r="B57" s="99"/>
      <c r="C57" s="97"/>
      <c r="D57" s="181"/>
      <c r="E57" s="99"/>
      <c r="F57" s="99"/>
      <c r="G57" s="181"/>
      <c r="H57" s="99"/>
      <c r="I57" s="181" t="s">
        <v>0</v>
      </c>
      <c r="J57" s="181"/>
      <c r="L57" s="178"/>
      <c r="M57" s="178"/>
    </row>
    <row r="58" spans="1:13">
      <c r="A58" s="230" t="s">
        <v>130</v>
      </c>
      <c r="B58" s="99"/>
      <c r="C58" s="99" t="s">
        <v>0</v>
      </c>
      <c r="D58" s="181"/>
      <c r="E58" s="99"/>
      <c r="F58" s="99"/>
      <c r="G58" s="181"/>
      <c r="H58" s="99"/>
      <c r="I58" s="99"/>
      <c r="J58" s="99"/>
      <c r="L58" s="178"/>
      <c r="M58" s="178"/>
    </row>
    <row r="59" spans="1:13">
      <c r="A59" s="99"/>
      <c r="B59" s="99"/>
      <c r="C59" s="99"/>
      <c r="D59" s="181"/>
      <c r="E59" s="99"/>
      <c r="F59" s="99"/>
      <c r="G59" s="181"/>
      <c r="H59" s="99"/>
      <c r="I59" s="99"/>
      <c r="J59" s="99"/>
      <c r="K59" s="90"/>
      <c r="L59" s="91"/>
      <c r="M59" s="91"/>
    </row>
    <row r="60" spans="1:13">
      <c r="A60" s="99" t="s">
        <v>41</v>
      </c>
      <c r="B60" s="99"/>
      <c r="C60" s="97">
        <v>1874</v>
      </c>
      <c r="D60" s="237">
        <f>'Exhibit No.__(JAP-Tariff)'!E98</f>
        <v>343.66</v>
      </c>
      <c r="E60" s="99"/>
      <c r="F60" s="181">
        <f>ROUND(D60*$C60,0)</f>
        <v>644019</v>
      </c>
      <c r="G60" s="237">
        <f>G15</f>
        <v>369.66</v>
      </c>
      <c r="H60" s="99"/>
      <c r="I60" s="181">
        <f>ROUND(G60*$C60,0)</f>
        <v>692743</v>
      </c>
      <c r="J60" s="181"/>
      <c r="K60" s="329" t="s">
        <v>125</v>
      </c>
      <c r="L60" s="329"/>
      <c r="M60" s="329"/>
    </row>
    <row r="61" spans="1:13">
      <c r="A61" s="99" t="s">
        <v>44</v>
      </c>
      <c r="B61" s="99"/>
      <c r="C61" s="97"/>
      <c r="D61" s="42"/>
      <c r="E61" s="181"/>
      <c r="F61" s="181"/>
      <c r="G61" s="42"/>
      <c r="H61" s="181"/>
      <c r="I61" s="181"/>
      <c r="J61" s="181"/>
      <c r="K61" s="90"/>
      <c r="L61" s="91"/>
      <c r="M61" s="91"/>
    </row>
    <row r="62" spans="1:13">
      <c r="A62" s="189" t="s">
        <v>49</v>
      </c>
      <c r="B62" s="99"/>
      <c r="C62" s="97">
        <v>120139341</v>
      </c>
      <c r="D62" s="239">
        <f>'Exhibit No.__(JAP-Tariff)'!E100</f>
        <v>5.7135999999999999E-2</v>
      </c>
      <c r="E62" s="181"/>
      <c r="F62" s="181">
        <f t="shared" ref="F62" si="8">ROUND($C62*D62,0)</f>
        <v>6864281</v>
      </c>
      <c r="G62" s="239">
        <f>ROUND((L77-I60-I65-I68-I73)/SUM(C63:C64),6)</f>
        <v>6.3122999999999999E-2</v>
      </c>
      <c r="H62" s="181"/>
      <c r="I62" s="181">
        <f t="shared" ref="I62" si="9">ROUND($C62*G62,0)</f>
        <v>7583556</v>
      </c>
      <c r="J62" s="181"/>
      <c r="K62" s="329" t="s">
        <v>132</v>
      </c>
      <c r="L62" s="329"/>
      <c r="M62" s="329"/>
    </row>
    <row r="63" spans="1:13">
      <c r="A63" s="223" t="s">
        <v>34</v>
      </c>
      <c r="B63" s="99"/>
      <c r="C63" s="112">
        <f>SUM(C62:C62)</f>
        <v>120139341</v>
      </c>
      <c r="D63" s="253"/>
      <c r="E63" s="99"/>
      <c r="F63" s="115">
        <f>SUM(F62:F62)</f>
        <v>6864281</v>
      </c>
      <c r="G63" s="253"/>
      <c r="H63" s="99"/>
      <c r="I63" s="115">
        <f>SUM(I62:I62)</f>
        <v>7583556</v>
      </c>
      <c r="J63" s="181"/>
      <c r="K63" s="47"/>
      <c r="L63" s="91"/>
      <c r="M63" s="91"/>
    </row>
    <row r="64" spans="1:13">
      <c r="A64" s="189" t="s">
        <v>77</v>
      </c>
      <c r="B64" s="99"/>
      <c r="C64" s="97">
        <v>3404679.8765506782</v>
      </c>
      <c r="D64" s="239">
        <f>D62</f>
        <v>5.7135999999999999E-2</v>
      </c>
      <c r="E64" s="99"/>
      <c r="F64" s="181">
        <f t="shared" ref="F64" si="10">ROUND($C64*D64,0)</f>
        <v>194530</v>
      </c>
      <c r="G64" s="239">
        <f>G62</f>
        <v>6.3122999999999999E-2</v>
      </c>
      <c r="H64" s="99"/>
      <c r="I64" s="181">
        <f t="shared" ref="I64:I65" si="11">ROUND($C64*G64,0)</f>
        <v>214914</v>
      </c>
      <c r="J64" s="181"/>
      <c r="K64" s="46"/>
      <c r="L64" s="91"/>
      <c r="M64" s="91"/>
    </row>
    <row r="65" spans="1:13">
      <c r="A65" s="118" t="s">
        <v>79</v>
      </c>
      <c r="B65" s="99"/>
      <c r="C65" s="109">
        <v>-441932.86571428552</v>
      </c>
      <c r="D65" s="239">
        <f>ROUND(F65/C65,6)</f>
        <v>6.0415999999999997E-2</v>
      </c>
      <c r="E65" s="99"/>
      <c r="F65" s="181">
        <v>-26700</v>
      </c>
      <c r="G65" s="239">
        <f>ROUND(D65*(1+$M$77),6)</f>
        <v>6.6129999999999994E-2</v>
      </c>
      <c r="H65" s="99"/>
      <c r="I65" s="181">
        <f t="shared" si="11"/>
        <v>-29225</v>
      </c>
      <c r="J65" s="100"/>
      <c r="K65" s="329" t="s">
        <v>86</v>
      </c>
      <c r="L65" s="329"/>
      <c r="M65" s="329"/>
    </row>
    <row r="66" spans="1:13">
      <c r="A66" s="223" t="s">
        <v>34</v>
      </c>
      <c r="B66" s="99"/>
      <c r="C66" s="112">
        <f>SUM(C63:C65)</f>
        <v>123102088.01083639</v>
      </c>
      <c r="D66" s="99"/>
      <c r="E66" s="99"/>
      <c r="F66" s="115">
        <f>SUM(F63:F65)</f>
        <v>7032111</v>
      </c>
      <c r="G66" s="99"/>
      <c r="H66" s="99"/>
      <c r="I66" s="115">
        <f>SUM(I63:I65)</f>
        <v>7769245</v>
      </c>
      <c r="J66" s="100"/>
      <c r="K66" s="45"/>
      <c r="L66" s="91"/>
      <c r="M66" s="91"/>
    </row>
    <row r="67" spans="1:13">
      <c r="A67" s="99" t="s">
        <v>43</v>
      </c>
      <c r="B67" s="99"/>
      <c r="C67" s="97"/>
      <c r="D67" s="244"/>
      <c r="E67" s="99"/>
      <c r="F67" s="181"/>
      <c r="G67" s="244"/>
      <c r="H67" s="99"/>
      <c r="I67" s="181"/>
      <c r="J67" s="181"/>
      <c r="K67" s="45"/>
      <c r="L67" s="39"/>
      <c r="M67" s="91"/>
    </row>
    <row r="68" spans="1:13">
      <c r="A68" s="189" t="s">
        <v>131</v>
      </c>
      <c r="B68" s="99"/>
      <c r="C68" s="97">
        <v>602303</v>
      </c>
      <c r="D68" s="237">
        <f>'Exhibit No.__(JAP-Tariff)'!E102</f>
        <v>4.8099999999999996</v>
      </c>
      <c r="E68" s="99"/>
      <c r="F68" s="181">
        <f>ROUND(D68*$C68,0)</f>
        <v>2897077</v>
      </c>
      <c r="G68" s="237">
        <f>ROUND(D68*(1+$M$31),2)</f>
        <v>5.17</v>
      </c>
      <c r="H68" s="99"/>
      <c r="I68" s="181">
        <f>ROUND(G68*$C68,0)</f>
        <v>3113907</v>
      </c>
      <c r="J68" s="181"/>
      <c r="K68" s="329" t="s">
        <v>86</v>
      </c>
      <c r="L68" s="329"/>
      <c r="M68" s="329"/>
    </row>
    <row r="69" spans="1:13">
      <c r="A69" s="223" t="s">
        <v>34</v>
      </c>
      <c r="B69" s="99"/>
      <c r="C69" s="112">
        <f>SUM(C68:C68)</f>
        <v>602303</v>
      </c>
      <c r="D69" s="244"/>
      <c r="E69" s="99"/>
      <c r="F69" s="115">
        <f>SUM(F68:F68)</f>
        <v>2897077</v>
      </c>
      <c r="G69" s="244"/>
      <c r="H69" s="99"/>
      <c r="I69" s="115">
        <f>SUM(I68:I68)</f>
        <v>3113907</v>
      </c>
      <c r="J69" s="181"/>
      <c r="K69" s="45"/>
      <c r="L69" s="91"/>
      <c r="M69" s="91"/>
    </row>
    <row r="70" spans="1:13">
      <c r="A70" s="99"/>
      <c r="B70" s="99"/>
      <c r="C70" s="109"/>
      <c r="D70" s="109"/>
      <c r="E70" s="99"/>
      <c r="F70" s="100"/>
      <c r="G70" s="109"/>
      <c r="H70" s="99"/>
      <c r="I70" s="100"/>
      <c r="J70" s="100"/>
      <c r="K70" s="45"/>
      <c r="L70" s="91"/>
      <c r="M70" s="91"/>
    </row>
    <row r="71" spans="1:13">
      <c r="A71" s="178" t="s">
        <v>270</v>
      </c>
      <c r="B71" s="99"/>
      <c r="C71" s="97">
        <v>0</v>
      </c>
      <c r="D71" s="257">
        <f>ROUND(D23-D68,2)</f>
        <v>6.65</v>
      </c>
      <c r="E71" s="99"/>
      <c r="F71" s="181">
        <f>ROUND(D71*$C71,0)</f>
        <v>0</v>
      </c>
      <c r="G71" s="257">
        <f>ROUND(G23-G68,2)</f>
        <v>7.16</v>
      </c>
      <c r="H71" s="99"/>
      <c r="I71" s="181">
        <f>ROUND(G71*$C71,0)</f>
        <v>0</v>
      </c>
      <c r="J71" s="100"/>
      <c r="K71" s="329" t="s">
        <v>271</v>
      </c>
      <c r="L71" s="329"/>
      <c r="M71" s="329"/>
    </row>
    <row r="72" spans="1:13">
      <c r="A72" s="99"/>
      <c r="B72" s="99"/>
      <c r="C72" s="109"/>
      <c r="D72" s="109"/>
      <c r="E72" s="99"/>
      <c r="F72" s="100"/>
      <c r="G72" s="109"/>
      <c r="H72" s="99"/>
      <c r="I72" s="100"/>
      <c r="J72" s="100"/>
      <c r="K72" s="45"/>
      <c r="L72" s="91"/>
      <c r="M72" s="91"/>
    </row>
    <row r="73" spans="1:13">
      <c r="A73" s="99" t="s">
        <v>96</v>
      </c>
      <c r="B73" s="99"/>
      <c r="C73" s="97">
        <v>48783417</v>
      </c>
      <c r="D73" s="245">
        <f>'Exhibit No.__(JAP-Tariff)'!E106</f>
        <v>3.0400000000000002E-3</v>
      </c>
      <c r="E73" s="99"/>
      <c r="F73" s="181">
        <f>ROUND(D73*$C73,0)</f>
        <v>148302</v>
      </c>
      <c r="G73" s="245">
        <f>ROUND(D73*(1+$M$31),5)</f>
        <v>3.2699999999999999E-3</v>
      </c>
      <c r="H73" s="99"/>
      <c r="I73" s="181">
        <f>ROUND(G73*$C73,0)</f>
        <v>159522</v>
      </c>
      <c r="J73" s="100"/>
      <c r="K73" s="329" t="s">
        <v>86</v>
      </c>
      <c r="L73" s="329"/>
      <c r="M73" s="329"/>
    </row>
    <row r="74" spans="1:13">
      <c r="A74" s="99"/>
      <c r="B74" s="99"/>
      <c r="C74" s="109"/>
      <c r="D74" s="109"/>
      <c r="E74" s="99"/>
      <c r="F74" s="100"/>
      <c r="G74" s="109"/>
      <c r="H74" s="99"/>
      <c r="I74" s="100"/>
      <c r="J74" s="100"/>
      <c r="K74" s="252"/>
      <c r="L74" s="39"/>
      <c r="M74" s="91"/>
    </row>
    <row r="75" spans="1:13" ht="16.5" thickBot="1">
      <c r="A75" s="99" t="s">
        <v>38</v>
      </c>
      <c r="B75" s="99"/>
      <c r="C75" s="109"/>
      <c r="D75" s="109"/>
      <c r="E75" s="99"/>
      <c r="F75" s="105">
        <f>SUM(F60,F66,F69,F73)</f>
        <v>10721509</v>
      </c>
      <c r="G75" s="109"/>
      <c r="H75" s="99"/>
      <c r="I75" s="105">
        <f>SUM(I60,I66,I69,I73)</f>
        <v>11735417</v>
      </c>
      <c r="J75" s="100"/>
      <c r="K75" s="252"/>
      <c r="L75" s="39"/>
      <c r="M75" s="91"/>
    </row>
    <row r="76" spans="1:13" ht="16.5" thickTop="1">
      <c r="A76" s="99"/>
      <c r="B76" s="117"/>
      <c r="C76" s="109"/>
      <c r="D76" s="109"/>
      <c r="E76" s="99"/>
      <c r="F76" s="181"/>
      <c r="G76" s="109"/>
      <c r="H76" s="99"/>
      <c r="I76" s="181"/>
      <c r="J76" s="181"/>
      <c r="K76" s="252"/>
      <c r="L76" s="39"/>
      <c r="M76" s="91"/>
    </row>
    <row r="77" spans="1:13">
      <c r="K77" s="116" t="s">
        <v>133</v>
      </c>
      <c r="L77" s="107">
        <f>'Exhibit No.__(JAP-Rate Spread)'!K19*1000</f>
        <v>11735469.985174198</v>
      </c>
      <c r="M77" s="108">
        <f>L77/SUM(F75)-1</f>
        <v>9.4572600291078279E-2</v>
      </c>
    </row>
    <row r="78" spans="1:13">
      <c r="B78" s="99"/>
      <c r="C78" s="97"/>
      <c r="D78" s="181"/>
      <c r="E78" s="99"/>
      <c r="F78" s="99"/>
      <c r="G78" s="181"/>
      <c r="H78" s="99"/>
      <c r="I78" s="181" t="s">
        <v>0</v>
      </c>
      <c r="J78" s="181"/>
      <c r="K78" s="110" t="s">
        <v>37</v>
      </c>
      <c r="L78" s="111">
        <f>L77-I75-I97</f>
        <v>52.9851741977036</v>
      </c>
      <c r="M78" s="43" t="s">
        <v>0</v>
      </c>
    </row>
  </sheetData>
  <mergeCells count="24">
    <mergeCell ref="K73:M73"/>
    <mergeCell ref="K46:M46"/>
    <mergeCell ref="K49:M49"/>
    <mergeCell ref="K60:M60"/>
    <mergeCell ref="K62:M62"/>
    <mergeCell ref="K68:M68"/>
    <mergeCell ref="K71:M71"/>
    <mergeCell ref="K65:M65"/>
    <mergeCell ref="K27:M27"/>
    <mergeCell ref="K37:M37"/>
    <mergeCell ref="K39:M39"/>
    <mergeCell ref="K42:M42"/>
    <mergeCell ref="K45:M45"/>
    <mergeCell ref="K15:M15"/>
    <mergeCell ref="K17:M17"/>
    <mergeCell ref="K20:M20"/>
    <mergeCell ref="K23:M23"/>
    <mergeCell ref="K24:M24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activeCellId="1" sqref="A1:J1 A1:XFD1048576"/>
      <selection pane="bottomLeft" activeCell="A11" sqref="A11"/>
    </sheetView>
  </sheetViews>
  <sheetFormatPr defaultColWidth="10.25" defaultRowHeight="15.75"/>
  <cols>
    <col min="1" max="1" width="28.625" style="178" bestFit="1" customWidth="1"/>
    <col min="2" max="2" width="1.375" style="178" bestFit="1" customWidth="1"/>
    <col min="3" max="3" width="11.625" style="178" bestFit="1" customWidth="1"/>
    <col min="4" max="4" width="10.75" style="178" bestFit="1" customWidth="1"/>
    <col min="5" max="5" width="5.375" style="178" bestFit="1" customWidth="1"/>
    <col min="6" max="6" width="11.625" style="178" bestFit="1" customWidth="1"/>
    <col min="7" max="7" width="12.875" style="178" customWidth="1"/>
    <col min="8" max="8" width="2" style="178" bestFit="1" customWidth="1"/>
    <col min="9" max="9" width="14.75" style="178" customWidth="1"/>
    <col min="10" max="10" width="1.625" style="178" customWidth="1"/>
    <col min="11" max="11" width="21.875" style="178" bestFit="1" customWidth="1"/>
    <col min="12" max="12" width="12.375" style="96" bestFit="1" customWidth="1"/>
    <col min="13" max="13" width="10.25" style="96" bestFit="1" customWidth="1"/>
    <col min="14" max="14" width="7.125" style="96" bestFit="1" customWidth="1"/>
    <col min="15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6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>
      <c r="A5" s="29" t="s">
        <v>137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40">
      <c r="A12" s="230" t="s">
        <v>138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82"/>
    </row>
    <row r="13" spans="1:40">
      <c r="A13" s="230" t="s">
        <v>59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82"/>
    </row>
    <row r="14" spans="1:40">
      <c r="A14" s="230" t="s">
        <v>139</v>
      </c>
      <c r="B14" s="99"/>
      <c r="C14" s="97">
        <v>72</v>
      </c>
      <c r="D14" s="239"/>
      <c r="E14" s="99"/>
      <c r="F14" s="181"/>
      <c r="G14" s="239"/>
      <c r="H14" s="99"/>
      <c r="I14" s="181"/>
      <c r="J14" s="99"/>
      <c r="M14" s="98"/>
      <c r="N14" s="98"/>
      <c r="P14" s="182"/>
      <c r="Q14" s="101"/>
      <c r="R14" s="182"/>
      <c r="S14" s="101"/>
      <c r="T14" s="182"/>
      <c r="U14" s="182"/>
      <c r="V14" s="101"/>
      <c r="W14" s="98"/>
      <c r="X14" s="182"/>
      <c r="Y14" s="182"/>
      <c r="AG14" s="90"/>
      <c r="AH14" s="90"/>
      <c r="AI14" s="90"/>
      <c r="AJ14" s="90"/>
      <c r="AK14" s="90"/>
      <c r="AL14" s="90"/>
      <c r="AN14" s="182"/>
    </row>
    <row r="15" spans="1:40">
      <c r="A15" s="99" t="s">
        <v>83</v>
      </c>
      <c r="B15" s="99"/>
      <c r="C15" s="97"/>
      <c r="D15" s="239"/>
      <c r="E15" s="99"/>
      <c r="F15" s="181"/>
      <c r="G15" s="239"/>
      <c r="H15" s="99"/>
      <c r="I15" s="181"/>
      <c r="J15" s="99"/>
      <c r="M15" s="98"/>
      <c r="N15" s="98"/>
      <c r="P15" s="182"/>
      <c r="Q15" s="101"/>
      <c r="R15" s="182"/>
      <c r="S15" s="101"/>
      <c r="T15" s="182"/>
      <c r="U15" s="182"/>
      <c r="V15" s="101"/>
      <c r="W15" s="98"/>
      <c r="X15" s="182"/>
      <c r="Y15" s="182"/>
      <c r="AG15" s="90"/>
      <c r="AH15" s="90"/>
      <c r="AI15" s="90"/>
      <c r="AJ15" s="90"/>
      <c r="AK15" s="90"/>
      <c r="AL15" s="90"/>
      <c r="AN15" s="182"/>
    </row>
    <row r="16" spans="1:40">
      <c r="A16" s="189" t="s">
        <v>49</v>
      </c>
      <c r="B16" s="99"/>
      <c r="C16" s="97">
        <v>77875892</v>
      </c>
      <c r="D16" s="239">
        <f>'Exhibit No.__(JAP-Tariff)'!E125</f>
        <v>5.0738999999999999E-2</v>
      </c>
      <c r="E16" s="99"/>
      <c r="F16" s="181">
        <f t="shared" ref="F16" si="0">ROUND(D16*$C16,0)</f>
        <v>3951345</v>
      </c>
      <c r="G16" s="239">
        <f>G31</f>
        <v>5.3619E-2</v>
      </c>
      <c r="H16" s="99"/>
      <c r="I16" s="181">
        <f t="shared" ref="I16" si="1">ROUND(G16*$C16,0)</f>
        <v>4175627</v>
      </c>
      <c r="J16" s="100"/>
      <c r="K16" s="329" t="s">
        <v>144</v>
      </c>
      <c r="L16" s="329"/>
      <c r="M16" s="329"/>
      <c r="N16" s="98"/>
      <c r="O16" s="96"/>
      <c r="X16" s="90"/>
      <c r="Y16" s="90"/>
      <c r="Z16" s="90"/>
      <c r="AA16" s="90"/>
      <c r="AB16" s="90"/>
      <c r="AC16" s="90"/>
      <c r="AD16" s="90"/>
      <c r="AE16" s="90"/>
      <c r="AG16" s="182"/>
    </row>
    <row r="17" spans="1:33">
      <c r="A17" s="118" t="s">
        <v>79</v>
      </c>
      <c r="B17" s="240"/>
      <c r="C17" s="102">
        <v>475600</v>
      </c>
      <c r="D17" s="239">
        <f>ROUND(F17/C17,6)</f>
        <v>0.13997499999999999</v>
      </c>
      <c r="E17" s="99"/>
      <c r="F17" s="241">
        <v>66572</v>
      </c>
      <c r="G17" s="246">
        <f>ROUND(+D17*(1+$M$37),6)</f>
        <v>0.14791799999999999</v>
      </c>
      <c r="H17" s="99"/>
      <c r="I17" s="241">
        <f t="shared" ref="I17" si="2">ROUND(G17*$C17,0)</f>
        <v>70350</v>
      </c>
      <c r="J17" s="100"/>
      <c r="K17" s="329" t="s">
        <v>86</v>
      </c>
      <c r="L17" s="329"/>
      <c r="M17" s="329"/>
      <c r="N17" s="98"/>
      <c r="X17" s="90"/>
      <c r="Y17" s="90"/>
      <c r="Z17" s="90"/>
      <c r="AA17" s="90"/>
      <c r="AB17" s="90"/>
      <c r="AC17" s="90"/>
      <c r="AD17" s="90"/>
      <c r="AE17" s="90"/>
      <c r="AG17" s="182"/>
    </row>
    <row r="18" spans="1:33">
      <c r="A18" s="223" t="s">
        <v>34</v>
      </c>
      <c r="B18" s="240"/>
      <c r="C18" s="109">
        <f>SUM(C16:C17)</f>
        <v>78351492</v>
      </c>
      <c r="D18" s="239"/>
      <c r="E18" s="99"/>
      <c r="F18" s="181">
        <f>SUM(F16:F17)</f>
        <v>4017917</v>
      </c>
      <c r="G18" s="239"/>
      <c r="H18" s="99"/>
      <c r="I18" s="181">
        <f>SUM(I16:I17)</f>
        <v>4245977</v>
      </c>
      <c r="J18" s="100"/>
      <c r="M18" s="98"/>
      <c r="N18" s="98"/>
      <c r="X18" s="90"/>
      <c r="Y18" s="90"/>
      <c r="Z18" s="90"/>
      <c r="AA18" s="90"/>
      <c r="AB18" s="90"/>
      <c r="AC18" s="90"/>
      <c r="AD18" s="90"/>
      <c r="AE18" s="90"/>
      <c r="AG18" s="182"/>
    </row>
    <row r="19" spans="1:33">
      <c r="A19" s="223"/>
      <c r="B19" s="240"/>
      <c r="C19" s="109"/>
      <c r="D19" s="239"/>
      <c r="E19" s="99"/>
      <c r="F19" s="181"/>
      <c r="G19" s="239"/>
      <c r="H19" s="99"/>
      <c r="I19" s="181"/>
      <c r="J19" s="100"/>
      <c r="M19" s="98"/>
      <c r="N19" s="98"/>
      <c r="X19" s="90"/>
      <c r="Y19" s="90"/>
      <c r="Z19" s="90"/>
      <c r="AA19" s="90"/>
      <c r="AB19" s="90"/>
      <c r="AC19" s="90"/>
      <c r="AD19" s="90"/>
      <c r="AE19" s="90"/>
      <c r="AG19" s="182"/>
    </row>
    <row r="20" spans="1:33">
      <c r="A20" s="230" t="s">
        <v>140</v>
      </c>
      <c r="B20" s="99"/>
      <c r="C20" s="97">
        <v>397464</v>
      </c>
      <c r="D20" s="237">
        <f>'Exhibit No.__(JAP-Tariff)'!E127</f>
        <v>2.95</v>
      </c>
      <c r="E20" s="99"/>
      <c r="F20" s="181">
        <f t="shared" ref="F20" si="3">ROUND(D20*$C20,0)</f>
        <v>1172519</v>
      </c>
      <c r="G20" s="237">
        <f>ROUND(D20*(1+$M$37),2)</f>
        <v>3.12</v>
      </c>
      <c r="H20" s="99"/>
      <c r="I20" s="181">
        <f t="shared" ref="I20" si="4">ROUND(G20*$C20,0)</f>
        <v>1240088</v>
      </c>
      <c r="J20" s="100"/>
      <c r="K20" s="329" t="s">
        <v>86</v>
      </c>
      <c r="L20" s="329"/>
      <c r="M20" s="329"/>
      <c r="N20" s="98"/>
      <c r="O20" s="96"/>
      <c r="X20" s="90"/>
      <c r="Y20" s="90"/>
      <c r="Z20" s="90"/>
      <c r="AA20" s="90"/>
      <c r="AB20" s="90"/>
      <c r="AC20" s="90"/>
      <c r="AD20" s="90"/>
      <c r="AE20" s="90"/>
      <c r="AG20" s="182"/>
    </row>
    <row r="21" spans="1:33">
      <c r="A21" s="118"/>
      <c r="B21" s="240"/>
      <c r="C21" s="109"/>
      <c r="D21" s="239"/>
      <c r="E21" s="99"/>
      <c r="F21" s="181"/>
      <c r="G21" s="239"/>
      <c r="H21" s="99"/>
      <c r="I21" s="181"/>
      <c r="J21" s="100"/>
      <c r="M21" s="98"/>
      <c r="N21" s="98"/>
      <c r="X21" s="90"/>
      <c r="Y21" s="90"/>
      <c r="Z21" s="90"/>
      <c r="AA21" s="90"/>
      <c r="AB21" s="90"/>
      <c r="AC21" s="90"/>
      <c r="AD21" s="90"/>
      <c r="AE21" s="90"/>
      <c r="AG21" s="182"/>
    </row>
    <row r="22" spans="1:33" ht="16.5" thickBot="1">
      <c r="A22" s="99" t="s">
        <v>38</v>
      </c>
      <c r="B22" s="99"/>
      <c r="C22" s="109"/>
      <c r="D22" s="104"/>
      <c r="E22" s="235"/>
      <c r="F22" s="211">
        <f>SUM(F20,F18)</f>
        <v>5190436</v>
      </c>
      <c r="G22" s="104"/>
      <c r="H22" s="235"/>
      <c r="I22" s="211">
        <f>SUM(I20,I18)</f>
        <v>5486065</v>
      </c>
      <c r="J22" s="105"/>
      <c r="K22" s="329" t="s">
        <v>86</v>
      </c>
      <c r="L22" s="329"/>
      <c r="M22" s="329"/>
      <c r="N22" s="40"/>
      <c r="O22" s="25" t="s">
        <v>0</v>
      </c>
      <c r="X22" s="90"/>
      <c r="Y22" s="90"/>
      <c r="Z22" s="90"/>
      <c r="AA22" s="90"/>
      <c r="AB22" s="90"/>
      <c r="AC22" s="90"/>
      <c r="AD22" s="90"/>
      <c r="AE22" s="90"/>
      <c r="AG22" s="182"/>
    </row>
    <row r="23" spans="1:33" ht="16.5" thickTop="1">
      <c r="A23" s="99"/>
      <c r="B23" s="99"/>
      <c r="C23" s="109"/>
      <c r="D23" s="104"/>
      <c r="E23" s="235"/>
      <c r="F23" s="100"/>
      <c r="G23" s="104"/>
      <c r="H23" s="235"/>
      <c r="I23" s="100"/>
      <c r="J23" s="100"/>
      <c r="M23" s="98"/>
      <c r="N23" s="40"/>
      <c r="O23" s="25"/>
      <c r="X23" s="90"/>
      <c r="Y23" s="90"/>
      <c r="Z23" s="90"/>
      <c r="AA23" s="90"/>
      <c r="AB23" s="90"/>
      <c r="AC23" s="90"/>
      <c r="AD23" s="90"/>
      <c r="AE23" s="90"/>
      <c r="AG23" s="182"/>
    </row>
    <row r="24" spans="1:33">
      <c r="A24" s="230" t="s">
        <v>141</v>
      </c>
      <c r="C24" s="48">
        <v>0.9</v>
      </c>
      <c r="D24" s="239">
        <f>+D16*C24</f>
        <v>4.56651E-2</v>
      </c>
      <c r="E24" s="49">
        <f>+E12*C24</f>
        <v>0</v>
      </c>
      <c r="F24" s="100"/>
      <c r="G24" s="239">
        <f>ROUND(+G16*C24,6)</f>
        <v>4.8257000000000001E-2</v>
      </c>
      <c r="H24" s="235"/>
      <c r="I24" s="100"/>
      <c r="J24" s="100"/>
      <c r="K24" s="100"/>
      <c r="L24" s="100"/>
      <c r="M24" s="100"/>
      <c r="N24" s="40"/>
      <c r="O24" s="25"/>
      <c r="X24" s="90"/>
      <c r="Y24" s="90"/>
      <c r="Z24" s="90"/>
      <c r="AA24" s="90"/>
      <c r="AB24" s="90"/>
      <c r="AC24" s="90"/>
      <c r="AD24" s="90"/>
      <c r="AE24" s="90"/>
      <c r="AG24" s="182"/>
    </row>
    <row r="25" spans="1:33">
      <c r="A25" s="230" t="s">
        <v>142</v>
      </c>
      <c r="C25" s="47">
        <v>12</v>
      </c>
      <c r="D25" s="237">
        <f>+C25*D20</f>
        <v>35.400000000000006</v>
      </c>
      <c r="E25" s="176">
        <f>+C25*E14</f>
        <v>0</v>
      </c>
      <c r="F25" s="181"/>
      <c r="G25" s="237">
        <f>ROUND(+C25*G20,2)</f>
        <v>37.44</v>
      </c>
      <c r="H25" s="99"/>
      <c r="L25" s="178"/>
      <c r="M25" s="178"/>
      <c r="X25" s="90"/>
      <c r="Y25" s="90"/>
      <c r="Z25" s="90"/>
      <c r="AA25" s="90"/>
      <c r="AB25" s="90"/>
      <c r="AC25" s="90"/>
      <c r="AD25" s="90"/>
      <c r="AE25" s="90"/>
      <c r="AG25" s="182"/>
    </row>
    <row r="26" spans="1:33">
      <c r="A26" s="99"/>
      <c r="B26" s="99"/>
      <c r="C26" s="97"/>
      <c r="D26" s="42" t="s">
        <v>0</v>
      </c>
      <c r="E26" s="99"/>
      <c r="F26" s="181"/>
      <c r="G26" s="42" t="s">
        <v>0</v>
      </c>
      <c r="H26" s="99"/>
      <c r="I26" s="181" t="s">
        <v>0</v>
      </c>
      <c r="J26" s="181" t="s">
        <v>0</v>
      </c>
      <c r="K26" s="181" t="s">
        <v>0</v>
      </c>
      <c r="L26" s="181" t="s">
        <v>0</v>
      </c>
      <c r="M26" s="181" t="s">
        <v>0</v>
      </c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>
      <c r="A27" s="230" t="s">
        <v>143</v>
      </c>
      <c r="B27" s="99"/>
      <c r="C27" s="99" t="s">
        <v>0</v>
      </c>
      <c r="D27" s="181"/>
      <c r="E27" s="99"/>
      <c r="F27" s="99"/>
      <c r="G27" s="181"/>
      <c r="H27" s="99"/>
      <c r="I27" s="99"/>
      <c r="J27" s="99"/>
      <c r="K27" s="90"/>
      <c r="L27" s="91"/>
      <c r="M27" s="91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>
      <c r="A28" s="230" t="s">
        <v>60</v>
      </c>
      <c r="B28" s="99"/>
      <c r="C28" s="99"/>
      <c r="D28" s="181"/>
      <c r="E28" s="99"/>
      <c r="F28" s="99"/>
      <c r="G28" s="181"/>
      <c r="H28" s="99"/>
      <c r="I28" s="99"/>
      <c r="J28" s="99"/>
      <c r="K28" s="90"/>
      <c r="L28" s="91"/>
      <c r="M28" s="91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>
      <c r="A29" s="230" t="s">
        <v>139</v>
      </c>
      <c r="B29" s="99"/>
      <c r="C29" s="97">
        <v>228</v>
      </c>
      <c r="D29" s="239"/>
      <c r="E29" s="99"/>
      <c r="F29" s="181"/>
      <c r="G29" s="239"/>
      <c r="H29" s="99"/>
      <c r="I29" s="181"/>
      <c r="J29" s="99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>
      <c r="A30" s="99" t="s">
        <v>83</v>
      </c>
      <c r="B30" s="99"/>
      <c r="C30" s="97"/>
      <c r="D30" s="239"/>
      <c r="E30" s="99"/>
      <c r="F30" s="181"/>
      <c r="G30" s="239"/>
      <c r="H30" s="99"/>
      <c r="I30" s="181"/>
      <c r="J30" s="99"/>
      <c r="M30" s="91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>
      <c r="A31" s="189" t="s">
        <v>49</v>
      </c>
      <c r="B31" s="99"/>
      <c r="C31" s="97">
        <v>539795730</v>
      </c>
      <c r="D31" s="239">
        <f>'Exhibit No.__(JAP-Tariff)'!E133</f>
        <v>5.0738999999999999E-2</v>
      </c>
      <c r="E31" s="99"/>
      <c r="F31" s="181">
        <f t="shared" ref="F31" si="5">ROUND(D31*$C31,0)</f>
        <v>27388696</v>
      </c>
      <c r="G31" s="239">
        <f>ROUND(D31*(1+$M$41),6)+L44</f>
        <v>5.3619E-2</v>
      </c>
      <c r="H31" s="99"/>
      <c r="I31" s="181">
        <f t="shared" ref="I31" si="6">ROUND(G31*$C31,0)</f>
        <v>28943307</v>
      </c>
      <c r="J31" s="100"/>
      <c r="K31" s="330" t="s">
        <v>329</v>
      </c>
      <c r="L31" s="329"/>
      <c r="M31" s="329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>
      <c r="A32" s="118" t="s">
        <v>79</v>
      </c>
      <c r="B32" s="240"/>
      <c r="C32" s="102">
        <v>2463591.4019999988</v>
      </c>
      <c r="D32" s="239">
        <f>ROUND(F32/C32,6)</f>
        <v>7.4387999999999996E-2</v>
      </c>
      <c r="E32" s="99"/>
      <c r="F32" s="241">
        <v>183262</v>
      </c>
      <c r="G32" s="246">
        <f>ROUND(+D32*(1+$M$37),6)</f>
        <v>7.8608999999999998E-2</v>
      </c>
      <c r="H32" s="99"/>
      <c r="I32" s="241">
        <f>ROUND(G32*$C32,0)</f>
        <v>193660</v>
      </c>
      <c r="J32" s="100"/>
      <c r="K32" s="329" t="s">
        <v>86</v>
      </c>
      <c r="L32" s="329"/>
      <c r="M32" s="329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>
      <c r="A33" s="223" t="s">
        <v>34</v>
      </c>
      <c r="B33" s="240"/>
      <c r="C33" s="109">
        <f>SUM(C31:C32)</f>
        <v>542259321.40199995</v>
      </c>
      <c r="D33" s="239"/>
      <c r="E33" s="99"/>
      <c r="F33" s="181">
        <f>SUM(F31:F32)</f>
        <v>27571958</v>
      </c>
      <c r="G33" s="239"/>
      <c r="H33" s="99"/>
      <c r="I33" s="181">
        <f>SUM(I31:I32)</f>
        <v>29136967</v>
      </c>
      <c r="J33" s="100"/>
      <c r="K33" s="329"/>
      <c r="L33" s="329"/>
      <c r="M33" s="329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>
      <c r="A34" s="223"/>
      <c r="B34" s="240"/>
      <c r="C34" s="109"/>
      <c r="D34" s="239"/>
      <c r="E34" s="99"/>
      <c r="F34" s="181"/>
      <c r="G34" s="239"/>
      <c r="H34" s="99"/>
      <c r="I34" s="181"/>
      <c r="J34" s="100"/>
      <c r="M34" s="91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>
      <c r="A35" s="230" t="s">
        <v>140</v>
      </c>
      <c r="B35" s="99"/>
      <c r="C35" s="97">
        <v>1344134</v>
      </c>
      <c r="D35" s="237">
        <f>'Exhibit No.__(JAP-Tariff)'!E135</f>
        <v>5.48</v>
      </c>
      <c r="E35" s="99"/>
      <c r="F35" s="181">
        <f t="shared" ref="F35" si="7">ROUND(D35*$C35,0)</f>
        <v>7365854</v>
      </c>
      <c r="G35" s="237">
        <f>ROUND(D35*(1+$M$37),2)</f>
        <v>5.79</v>
      </c>
      <c r="H35" s="99"/>
      <c r="I35" s="181">
        <f>ROUND(G35*$C35,0)</f>
        <v>7782536</v>
      </c>
      <c r="J35" s="100"/>
      <c r="K35" s="329" t="s">
        <v>86</v>
      </c>
      <c r="L35" s="329"/>
      <c r="M35" s="329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>
      <c r="A36" s="118"/>
      <c r="B36" s="240"/>
      <c r="C36" s="109"/>
      <c r="D36" s="239"/>
      <c r="E36" s="99"/>
      <c r="F36" s="181"/>
      <c r="G36" s="239"/>
      <c r="H36" s="99"/>
      <c r="I36" s="181"/>
      <c r="J36" s="100"/>
      <c r="M36" s="91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6.5" thickBot="1">
      <c r="A37" s="99" t="s">
        <v>38</v>
      </c>
      <c r="B37" s="99"/>
      <c r="C37" s="109"/>
      <c r="D37" s="104"/>
      <c r="E37" s="235"/>
      <c r="F37" s="211">
        <f>SUM(F35,F33)</f>
        <v>34937812</v>
      </c>
      <c r="G37" s="104"/>
      <c r="H37" s="235"/>
      <c r="I37" s="211">
        <f>SUM(I35,I33)</f>
        <v>36919503</v>
      </c>
      <c r="J37" s="105"/>
      <c r="K37" s="106" t="s">
        <v>36</v>
      </c>
      <c r="L37" s="107">
        <f>'Exhibit No.__(JAP-Rate Spread)'!K22*1000</f>
        <v>42405267.655091159</v>
      </c>
      <c r="M37" s="108">
        <f>L37/SUM(F22,F37)-1</f>
        <v>5.6743560174647101E-2</v>
      </c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6.5" thickTop="1">
      <c r="A38" s="99"/>
      <c r="B38" s="99"/>
      <c r="C38" s="97"/>
      <c r="D38" s="244"/>
      <c r="E38" s="99"/>
      <c r="F38" s="181"/>
      <c r="G38" s="244"/>
      <c r="H38" s="99"/>
      <c r="I38" s="181"/>
      <c r="J38" s="181"/>
      <c r="K38" s="247" t="s">
        <v>325</v>
      </c>
      <c r="L38" s="21">
        <f>-SUM(I35,I20)</f>
        <v>-9022624</v>
      </c>
      <c r="M38" s="248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>
      <c r="A39" s="189"/>
      <c r="B39" s="99"/>
      <c r="C39" s="97"/>
      <c r="D39" s="237"/>
      <c r="E39" s="99"/>
      <c r="F39" s="181"/>
      <c r="G39" s="237"/>
      <c r="H39" s="99"/>
      <c r="I39" s="181"/>
      <c r="J39" s="181"/>
      <c r="K39" s="247" t="s">
        <v>326</v>
      </c>
      <c r="L39" s="21">
        <f>-SUM(F16,F31)</f>
        <v>-31340041</v>
      </c>
      <c r="M39" s="248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>
      <c r="A40" s="189"/>
      <c r="B40" s="99"/>
      <c r="C40" s="97"/>
      <c r="D40" s="237"/>
      <c r="E40" s="99"/>
      <c r="F40" s="181"/>
      <c r="G40" s="237"/>
      <c r="H40" s="99"/>
      <c r="I40" s="181"/>
      <c r="J40" s="181"/>
      <c r="K40" s="247" t="s">
        <v>328</v>
      </c>
      <c r="L40" s="21">
        <f>-SUM(F17,F32)</f>
        <v>-249834</v>
      </c>
      <c r="M40" s="249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>
      <c r="A41" s="223"/>
      <c r="B41" s="99"/>
      <c r="C41" s="97"/>
      <c r="D41" s="237"/>
      <c r="E41" s="99"/>
      <c r="F41" s="181"/>
      <c r="G41" s="237"/>
      <c r="H41" s="99"/>
      <c r="I41" s="181"/>
      <c r="J41" s="181"/>
      <c r="K41" s="247" t="s">
        <v>327</v>
      </c>
      <c r="L41" s="21">
        <f>SUM(L37:L40)</f>
        <v>1792768.655091159</v>
      </c>
      <c r="M41" s="250">
        <f>L41/(F31+F16)</f>
        <v>5.7203775039450622E-2</v>
      </c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>
      <c r="A42" s="99"/>
      <c r="B42" s="99"/>
      <c r="C42" s="97"/>
      <c r="D42" s="237"/>
      <c r="E42" s="99"/>
      <c r="F42" s="181"/>
      <c r="G42" s="237"/>
      <c r="H42" s="99"/>
      <c r="I42" s="181"/>
      <c r="J42" s="100"/>
      <c r="K42" s="251" t="s">
        <v>37</v>
      </c>
      <c r="L42" s="111">
        <f>I37-L37--I22</f>
        <v>300.3449088409543</v>
      </c>
      <c r="M42" s="43" t="s">
        <v>0</v>
      </c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99"/>
      <c r="B43" s="99"/>
      <c r="C43" s="97"/>
      <c r="D43" s="237"/>
      <c r="E43" s="99"/>
      <c r="F43" s="181"/>
      <c r="G43" s="237"/>
      <c r="H43" s="99"/>
      <c r="I43" s="181"/>
      <c r="J43" s="100"/>
      <c r="K43" s="252"/>
      <c r="L43" s="39"/>
      <c r="M43" s="91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99"/>
      <c r="B44" s="99"/>
      <c r="C44" s="97"/>
      <c r="D44" s="237"/>
      <c r="E44" s="99"/>
      <c r="F44" s="181"/>
      <c r="G44" s="237"/>
      <c r="H44" s="99"/>
      <c r="I44" s="181"/>
      <c r="J44" s="100"/>
      <c r="K44" s="201" t="s">
        <v>334</v>
      </c>
      <c r="L44" s="137">
        <f>'Exhibit No.__(JAP-SV RD)'!P7</f>
        <v>-2.1999999999999999E-5</v>
      </c>
      <c r="M44" s="137">
        <f>L42/(C31+C16)</f>
        <v>4.8625337176483449E-7</v>
      </c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99"/>
      <c r="B45" s="99"/>
      <c r="C45" s="97"/>
      <c r="D45" s="237"/>
      <c r="E45" s="99"/>
      <c r="F45" s="181"/>
      <c r="G45" s="237"/>
      <c r="H45" s="99"/>
      <c r="I45" s="181"/>
      <c r="J45" s="100"/>
      <c r="L45" s="178"/>
      <c r="M45" s="178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9"/>
      <c r="B46" s="117"/>
      <c r="C46" s="97"/>
      <c r="D46" s="237"/>
      <c r="E46" s="99"/>
      <c r="F46" s="181"/>
      <c r="G46" s="237"/>
      <c r="H46" s="99"/>
      <c r="I46" s="181"/>
      <c r="J46" s="181"/>
      <c r="L46" s="178"/>
      <c r="M46" s="178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</sheetData>
  <mergeCells count="14">
    <mergeCell ref="K35:M35"/>
    <mergeCell ref="K16:M16"/>
    <mergeCell ref="K17:M17"/>
    <mergeCell ref="K20:M20"/>
    <mergeCell ref="K31:M31"/>
    <mergeCell ref="K33:M33"/>
    <mergeCell ref="K32:M32"/>
    <mergeCell ref="K22:M22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activeCellId="1" sqref="A1:J1 A1:XFD1048576"/>
      <selection pane="bottomLeft" activeCell="A11" sqref="A11"/>
    </sheetView>
  </sheetViews>
  <sheetFormatPr defaultColWidth="10.25" defaultRowHeight="15.75"/>
  <cols>
    <col min="1" max="1" width="60.25" style="178" bestFit="1" customWidth="1"/>
    <col min="2" max="2" width="1.375" style="178" bestFit="1" customWidth="1"/>
    <col min="3" max="3" width="14.25" style="178" bestFit="1" customWidth="1"/>
    <col min="4" max="4" width="12.75" style="178" bestFit="1" customWidth="1"/>
    <col min="5" max="5" width="2" style="178" bestFit="1" customWidth="1"/>
    <col min="6" max="6" width="14.25" style="178" bestFit="1" customWidth="1"/>
    <col min="7" max="7" width="15.75" style="178" customWidth="1"/>
    <col min="8" max="8" width="2" style="178" bestFit="1" customWidth="1"/>
    <col min="9" max="9" width="14.25" style="178" bestFit="1" customWidth="1"/>
    <col min="10" max="10" width="1.625" style="178" customWidth="1"/>
    <col min="11" max="11" width="28" style="178" bestFit="1" customWidth="1"/>
    <col min="12" max="12" width="13.875" style="96" bestFit="1" customWidth="1"/>
    <col min="13" max="13" width="10.625" style="96" bestFit="1" customWidth="1"/>
    <col min="14" max="14" width="7.125" style="96" bestFit="1" customWidth="1"/>
    <col min="15" max="15" width="7.125" style="178" bestFit="1" customWidth="1"/>
    <col min="16" max="17" width="1.375" style="178" bestFit="1" customWidth="1"/>
    <col min="18" max="18" width="14.125" style="178" bestFit="1" customWidth="1"/>
    <col min="19" max="19" width="1.375" style="178" bestFit="1" customWidth="1"/>
    <col min="20" max="20" width="13.25" style="178" bestFit="1" customWidth="1"/>
    <col min="21" max="21" width="13" style="178" bestFit="1" customWidth="1"/>
    <col min="22" max="22" width="12.25" style="178" bestFit="1" customWidth="1"/>
    <col min="23" max="23" width="5.5" style="178" bestFit="1" customWidth="1"/>
    <col min="24" max="24" width="1.375" style="178" bestFit="1" customWidth="1"/>
    <col min="25" max="25" width="10.25" style="178" customWidth="1"/>
    <col min="26" max="26" width="12.125" style="178" customWidth="1"/>
    <col min="27" max="16384" width="10.25" style="178"/>
  </cols>
  <sheetData>
    <row r="1" spans="1:4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6"/>
      <c r="K1" s="90"/>
      <c r="L1" s="91"/>
      <c r="M1" s="91"/>
      <c r="N1" s="91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</row>
    <row r="2" spans="1:4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0"/>
      <c r="L2" s="91"/>
      <c r="M2" s="91"/>
      <c r="N2" s="91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0"/>
      <c r="L3" s="91"/>
      <c r="M3" s="91"/>
      <c r="N3" s="91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0"/>
      <c r="L4" s="91"/>
      <c r="M4" s="91"/>
      <c r="N4" s="91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40">
      <c r="A5" s="29" t="s">
        <v>515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1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4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1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4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M7" s="91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4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40">
      <c r="A9" s="32"/>
      <c r="B9" s="32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4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40">
      <c r="C11" s="97"/>
      <c r="D11" s="99" t="s">
        <v>0</v>
      </c>
      <c r="E11" s="97"/>
      <c r="F11" s="181"/>
      <c r="G11" s="99" t="s">
        <v>0</v>
      </c>
      <c r="H11" s="97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G11" s="182"/>
    </row>
    <row r="12" spans="1:40">
      <c r="A12" s="230" t="s">
        <v>145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G12" s="182"/>
    </row>
    <row r="13" spans="1:40">
      <c r="A13" s="230" t="s">
        <v>146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G13" s="182"/>
    </row>
    <row r="14" spans="1:40">
      <c r="A14" s="230" t="s">
        <v>619</v>
      </c>
      <c r="B14" s="99"/>
      <c r="C14" s="97">
        <v>240</v>
      </c>
      <c r="D14" s="237">
        <f>'Exhibit No.__(JAP-Tariff)'!$E$139</f>
        <v>2120</v>
      </c>
      <c r="E14" s="99"/>
      <c r="F14" s="181">
        <f t="shared" ref="F14" si="0">ROUND(D14*$C14,0)</f>
        <v>508800</v>
      </c>
      <c r="G14" s="237">
        <f>ROUND(L14,-1)</f>
        <v>2590</v>
      </c>
      <c r="H14" s="99"/>
      <c r="I14" s="181">
        <f t="shared" ref="I14" si="1">ROUND(G14*$C14,0)</f>
        <v>621600</v>
      </c>
      <c r="J14" s="100"/>
      <c r="K14" s="291" t="s">
        <v>591</v>
      </c>
      <c r="L14" s="238">
        <v>2587.1818055029271</v>
      </c>
      <c r="M14" s="222"/>
      <c r="N14" s="98"/>
      <c r="P14" s="182"/>
      <c r="Q14" s="101"/>
      <c r="R14" s="182"/>
      <c r="S14" s="101"/>
      <c r="T14" s="182"/>
      <c r="U14" s="182"/>
      <c r="V14" s="101"/>
      <c r="W14" s="98"/>
      <c r="X14" s="182"/>
      <c r="Y14" s="182"/>
      <c r="AG14" s="90"/>
      <c r="AH14" s="90"/>
      <c r="AI14" s="90"/>
      <c r="AJ14" s="90"/>
      <c r="AK14" s="90"/>
      <c r="AL14" s="90"/>
      <c r="AN14" s="182"/>
    </row>
    <row r="15" spans="1:40">
      <c r="A15" s="99" t="s">
        <v>83</v>
      </c>
      <c r="B15" s="99"/>
      <c r="C15" s="97"/>
      <c r="D15" s="239"/>
      <c r="E15" s="99"/>
      <c r="F15" s="181"/>
      <c r="G15" s="239"/>
      <c r="H15" s="99"/>
      <c r="I15" s="181"/>
      <c r="J15" s="99"/>
      <c r="K15" s="291"/>
      <c r="M15" s="222"/>
      <c r="N15" s="98"/>
      <c r="P15" s="182"/>
      <c r="Q15" s="101"/>
      <c r="R15" s="182"/>
      <c r="S15" s="101"/>
      <c r="T15" s="182"/>
      <c r="U15" s="182"/>
      <c r="V15" s="101"/>
      <c r="W15" s="98"/>
      <c r="X15" s="182"/>
      <c r="Y15" s="182"/>
      <c r="AG15" s="90"/>
      <c r="AH15" s="90"/>
      <c r="AI15" s="90"/>
      <c r="AJ15" s="90"/>
      <c r="AK15" s="90"/>
      <c r="AL15" s="90"/>
      <c r="AN15" s="182"/>
    </row>
    <row r="16" spans="1:40">
      <c r="A16" s="189" t="s">
        <v>49</v>
      </c>
      <c r="B16" s="99"/>
      <c r="C16" s="97">
        <v>2027109354</v>
      </c>
      <c r="D16" s="239">
        <v>0</v>
      </c>
      <c r="E16" s="99"/>
      <c r="F16" s="181">
        <f t="shared" ref="F16:F17" si="2">ROUND(D16*$C16,0)</f>
        <v>0</v>
      </c>
      <c r="G16" s="239">
        <v>0</v>
      </c>
      <c r="H16" s="99"/>
      <c r="I16" s="181">
        <f t="shared" ref="I16:I17" si="3">ROUND(G16*$C16,0)</f>
        <v>0</v>
      </c>
      <c r="J16" s="100"/>
      <c r="K16" s="90"/>
      <c r="L16" s="91"/>
      <c r="M16" s="222"/>
      <c r="N16" s="98"/>
      <c r="O16" s="96"/>
      <c r="X16" s="90"/>
      <c r="Y16" s="90"/>
      <c r="Z16" s="90"/>
      <c r="AA16" s="90"/>
      <c r="AB16" s="90"/>
      <c r="AC16" s="90"/>
      <c r="AD16" s="90"/>
      <c r="AE16" s="90"/>
      <c r="AG16" s="182"/>
    </row>
    <row r="17" spans="1:33">
      <c r="A17" s="189" t="s">
        <v>77</v>
      </c>
      <c r="B17" s="185"/>
      <c r="C17" s="97">
        <v>0</v>
      </c>
      <c r="D17" s="239">
        <v>0</v>
      </c>
      <c r="E17" s="239"/>
      <c r="F17" s="181">
        <f t="shared" si="2"/>
        <v>0</v>
      </c>
      <c r="G17" s="239">
        <v>0</v>
      </c>
      <c r="H17" s="99"/>
      <c r="I17" s="181">
        <f t="shared" si="3"/>
        <v>0</v>
      </c>
      <c r="J17" s="100"/>
      <c r="K17" s="90"/>
      <c r="L17" s="91"/>
      <c r="M17" s="222"/>
      <c r="X17" s="90"/>
      <c r="Y17" s="90"/>
      <c r="Z17" s="90"/>
      <c r="AA17" s="90"/>
      <c r="AB17" s="90"/>
      <c r="AC17" s="90"/>
      <c r="AD17" s="90"/>
      <c r="AE17" s="90"/>
      <c r="AG17" s="182"/>
    </row>
    <row r="18" spans="1:33">
      <c r="A18" s="118" t="s">
        <v>79</v>
      </c>
      <c r="B18" s="240"/>
      <c r="C18" s="102">
        <v>1617652.1700000241</v>
      </c>
      <c r="D18" s="239">
        <f>ROUND(F18/C18,6)</f>
        <v>1.7340999999999999E-2</v>
      </c>
      <c r="E18" s="99"/>
      <c r="F18" s="241">
        <v>28051</v>
      </c>
      <c r="G18" s="239">
        <f>D18</f>
        <v>1.7340999999999999E-2</v>
      </c>
      <c r="H18" s="99"/>
      <c r="I18" s="241">
        <f>ROUND(G18*$C18,0)</f>
        <v>28052</v>
      </c>
      <c r="J18" s="100"/>
      <c r="K18" s="329"/>
      <c r="L18" s="329"/>
      <c r="M18" s="329"/>
      <c r="N18" s="98"/>
      <c r="X18" s="90"/>
      <c r="Y18" s="90"/>
      <c r="Z18" s="90"/>
      <c r="AA18" s="90"/>
      <c r="AB18" s="90"/>
      <c r="AC18" s="90"/>
      <c r="AD18" s="90"/>
      <c r="AE18" s="90"/>
      <c r="AG18" s="182"/>
    </row>
    <row r="19" spans="1:33">
      <c r="A19" s="223" t="s">
        <v>34</v>
      </c>
      <c r="B19" s="240"/>
      <c r="C19" s="109">
        <f>SUM(C16:C18)</f>
        <v>2028727006.1700001</v>
      </c>
      <c r="D19" s="239"/>
      <c r="E19" s="99"/>
      <c r="F19" s="181">
        <f>SUM(F16:F18)</f>
        <v>28051</v>
      </c>
      <c r="G19" s="239"/>
      <c r="H19" s="99"/>
      <c r="I19" s="181">
        <f>SUM(I16:I18)</f>
        <v>28052</v>
      </c>
      <c r="J19" s="100"/>
      <c r="M19" s="98"/>
      <c r="N19" s="98"/>
      <c r="X19" s="90"/>
      <c r="Y19" s="90"/>
      <c r="Z19" s="90"/>
      <c r="AA19" s="90"/>
      <c r="AB19" s="90"/>
      <c r="AC19" s="90"/>
      <c r="AD19" s="90"/>
      <c r="AE19" s="90"/>
      <c r="AG19" s="182"/>
    </row>
    <row r="20" spans="1:33">
      <c r="A20" s="223"/>
      <c r="B20" s="240"/>
      <c r="C20" s="109"/>
      <c r="D20" s="239"/>
      <c r="E20" s="99"/>
      <c r="F20" s="181"/>
      <c r="G20" s="239"/>
      <c r="H20" s="99"/>
      <c r="I20" s="181"/>
      <c r="J20" s="100"/>
      <c r="M20" s="98"/>
      <c r="N20" s="98"/>
      <c r="X20" s="90"/>
      <c r="Y20" s="90"/>
      <c r="Z20" s="90"/>
      <c r="AA20" s="90"/>
      <c r="AB20" s="90"/>
      <c r="AC20" s="90"/>
      <c r="AD20" s="90"/>
      <c r="AE20" s="90"/>
      <c r="AG20" s="182"/>
    </row>
    <row r="21" spans="1:33">
      <c r="A21" s="99" t="s">
        <v>516</v>
      </c>
      <c r="B21" s="99"/>
      <c r="C21" s="109">
        <v>3557525</v>
      </c>
      <c r="D21" s="104"/>
      <c r="E21" s="235"/>
      <c r="F21" s="181"/>
      <c r="G21" s="239"/>
      <c r="H21" s="99"/>
      <c r="I21" s="181"/>
      <c r="J21" s="100"/>
      <c r="M21" s="98"/>
      <c r="N21" s="40"/>
      <c r="O21" s="25" t="s">
        <v>0</v>
      </c>
      <c r="X21" s="90"/>
      <c r="Y21" s="90"/>
      <c r="Z21" s="90"/>
      <c r="AA21" s="90"/>
      <c r="AB21" s="90"/>
      <c r="AC21" s="90"/>
      <c r="AD21" s="90"/>
      <c r="AE21" s="90"/>
      <c r="AG21" s="182"/>
    </row>
    <row r="22" spans="1:33">
      <c r="A22" s="99"/>
      <c r="B22" s="99"/>
      <c r="C22" s="109"/>
      <c r="D22" s="104"/>
      <c r="E22" s="235"/>
      <c r="F22" s="100"/>
      <c r="G22" s="104"/>
      <c r="H22" s="235"/>
      <c r="I22" s="100"/>
      <c r="J22" s="100"/>
      <c r="M22" s="98"/>
      <c r="N22" s="40"/>
      <c r="O22" s="25"/>
      <c r="X22" s="90"/>
      <c r="Y22" s="90"/>
      <c r="Z22" s="90"/>
      <c r="AA22" s="90"/>
      <c r="AB22" s="90"/>
      <c r="AC22" s="90"/>
      <c r="AD22" s="90"/>
      <c r="AE22" s="90"/>
      <c r="AG22" s="182"/>
    </row>
    <row r="23" spans="1:33">
      <c r="A23" s="230" t="s">
        <v>148</v>
      </c>
      <c r="B23" s="99"/>
      <c r="C23" s="97"/>
      <c r="D23" s="242"/>
      <c r="E23" s="99"/>
      <c r="F23" s="181">
        <v>9577505</v>
      </c>
      <c r="G23" s="239"/>
      <c r="H23" s="99"/>
      <c r="I23" s="181">
        <f>F23</f>
        <v>9577505</v>
      </c>
      <c r="J23" s="100"/>
      <c r="K23" s="291"/>
      <c r="M23" s="98"/>
      <c r="N23" s="98"/>
      <c r="O23" s="96"/>
      <c r="X23" s="90"/>
      <c r="Y23" s="90"/>
      <c r="Z23" s="90"/>
      <c r="AA23" s="90"/>
      <c r="AB23" s="90"/>
      <c r="AC23" s="90"/>
      <c r="AD23" s="90"/>
      <c r="AE23" s="90"/>
      <c r="AG23" s="182"/>
    </row>
    <row r="24" spans="1:33">
      <c r="A24" s="118"/>
      <c r="B24" s="240"/>
      <c r="C24" s="109"/>
      <c r="D24" s="239"/>
      <c r="E24" s="99"/>
      <c r="F24" s="181"/>
      <c r="G24" s="239"/>
      <c r="H24" s="99"/>
      <c r="I24" s="181"/>
      <c r="J24" s="100"/>
      <c r="K24" s="291"/>
      <c r="M24" s="98"/>
      <c r="N24" s="91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3" ht="16.5" thickBot="1">
      <c r="A25" s="99" t="s">
        <v>38</v>
      </c>
      <c r="B25" s="99"/>
      <c r="C25" s="109"/>
      <c r="D25" s="104"/>
      <c r="E25" s="235"/>
      <c r="F25" s="211">
        <f>SUM(F21,F19,F14,F23)</f>
        <v>10114356</v>
      </c>
      <c r="G25" s="104"/>
      <c r="H25" s="235"/>
      <c r="I25" s="211">
        <f>SUM(I21,I19,I14,I23)</f>
        <v>10227157</v>
      </c>
      <c r="J25" s="105"/>
      <c r="K25" s="243">
        <f>I25-F25</f>
        <v>112801</v>
      </c>
      <c r="M25" s="98"/>
      <c r="N25" s="91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3" ht="16.5" thickTop="1">
      <c r="A26" s="99"/>
      <c r="B26" s="99"/>
      <c r="C26" s="97"/>
      <c r="D26" s="244"/>
      <c r="E26" s="99"/>
      <c r="F26" s="181"/>
      <c r="G26" s="244"/>
      <c r="H26" s="99"/>
      <c r="I26" s="181"/>
      <c r="J26" s="181"/>
      <c r="K26" s="291"/>
      <c r="M26" s="98"/>
      <c r="N26" s="91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3">
      <c r="A27" s="189"/>
      <c r="B27" s="99"/>
      <c r="C27" s="97"/>
      <c r="D27" s="237"/>
      <c r="E27" s="99"/>
      <c r="F27" s="181"/>
      <c r="G27" s="237"/>
      <c r="H27" s="99"/>
      <c r="I27" s="181"/>
      <c r="J27" s="181"/>
      <c r="K27" s="291"/>
      <c r="M27" s="98"/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3">
      <c r="A28" s="189"/>
      <c r="B28" s="99"/>
      <c r="C28" s="97"/>
      <c r="D28" s="237"/>
      <c r="E28" s="99"/>
      <c r="F28" s="181"/>
      <c r="G28" s="237"/>
      <c r="H28" s="99"/>
      <c r="I28" s="181"/>
      <c r="J28" s="181"/>
      <c r="K28" s="291"/>
      <c r="M28" s="98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3">
      <c r="A29" s="230" t="s">
        <v>592</v>
      </c>
      <c r="B29" s="99"/>
      <c r="C29" s="97"/>
      <c r="D29" s="237"/>
      <c r="E29" s="99"/>
      <c r="F29" s="181"/>
      <c r="G29" s="237"/>
      <c r="H29" s="99"/>
      <c r="I29" s="181"/>
      <c r="J29" s="181"/>
      <c r="K29" s="90"/>
      <c r="L29" s="91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3">
      <c r="A30" s="223" t="s">
        <v>619</v>
      </c>
      <c r="B30" s="99"/>
      <c r="C30" s="97">
        <v>1180</v>
      </c>
      <c r="D30" s="237">
        <f>'Exhibit No.__(JAP-Tariff)'!$E$139</f>
        <v>2120</v>
      </c>
      <c r="E30" s="99"/>
      <c r="F30" s="181">
        <f t="shared" ref="F30" si="4">ROUND(D30*$C30,0)</f>
        <v>2501600</v>
      </c>
      <c r="G30" s="237">
        <f>ROUND(L30,-1)</f>
        <v>290</v>
      </c>
      <c r="H30" s="99"/>
      <c r="I30" s="181">
        <f>ROUND(G30*$C30,0)</f>
        <v>342200</v>
      </c>
      <c r="J30" s="100"/>
      <c r="K30" s="291" t="s">
        <v>591</v>
      </c>
      <c r="L30" s="238">
        <v>289.11840166677314</v>
      </c>
      <c r="M30" s="222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3">
      <c r="A31" s="223"/>
      <c r="B31" s="99"/>
      <c r="C31" s="97"/>
      <c r="D31" s="237"/>
      <c r="E31" s="99"/>
      <c r="F31" s="181"/>
      <c r="G31" s="237"/>
      <c r="H31" s="99"/>
      <c r="I31" s="181"/>
      <c r="J31" s="181"/>
      <c r="K31" s="90"/>
      <c r="L31" s="238"/>
      <c r="M31" s="91"/>
      <c r="N31" s="91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3">
      <c r="A32" s="223" t="s">
        <v>570</v>
      </c>
      <c r="B32" s="99"/>
      <c r="C32" s="97"/>
      <c r="D32" s="237"/>
      <c r="E32" s="99"/>
      <c r="F32" s="181"/>
      <c r="G32" s="237"/>
      <c r="H32" s="99"/>
      <c r="I32" s="181"/>
      <c r="J32" s="181"/>
      <c r="K32" s="90"/>
      <c r="L32" s="238"/>
      <c r="M32" s="91"/>
      <c r="N32" s="91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>
      <c r="A33" s="223"/>
      <c r="B33" s="99"/>
      <c r="C33" s="109">
        <v>799158</v>
      </c>
      <c r="D33" s="237"/>
      <c r="E33" s="99"/>
      <c r="F33" s="181">
        <v>3188380</v>
      </c>
      <c r="G33" s="237"/>
      <c r="H33" s="99"/>
      <c r="I33" s="181">
        <v>4207066.68</v>
      </c>
      <c r="J33" s="181"/>
      <c r="K33" s="90"/>
      <c r="L33" s="91"/>
      <c r="M33" s="91"/>
      <c r="N33" s="91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>
      <c r="A34" s="223"/>
      <c r="B34" s="99"/>
      <c r="C34" s="97"/>
      <c r="D34" s="237"/>
      <c r="E34" s="99"/>
      <c r="F34" s="181"/>
      <c r="G34" s="237"/>
      <c r="H34" s="99"/>
      <c r="I34" s="181"/>
      <c r="J34" s="181"/>
      <c r="K34" s="90"/>
      <c r="L34" s="91"/>
      <c r="M34" s="91"/>
      <c r="N34" s="91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>
      <c r="A35" s="99" t="s">
        <v>83</v>
      </c>
      <c r="B35" s="99"/>
      <c r="C35" s="97"/>
      <c r="D35" s="239"/>
      <c r="E35" s="99"/>
      <c r="F35" s="181"/>
      <c r="G35" s="239"/>
      <c r="H35" s="99"/>
      <c r="I35" s="181"/>
      <c r="J35" s="181"/>
      <c r="K35" s="90"/>
      <c r="L35" s="91"/>
      <c r="M35" s="91"/>
      <c r="N35" s="91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>
      <c r="A36" s="189" t="s">
        <v>49</v>
      </c>
      <c r="B36" s="99"/>
      <c r="C36" s="97">
        <v>351393396</v>
      </c>
      <c r="D36" s="239">
        <v>0</v>
      </c>
      <c r="E36" s="99"/>
      <c r="F36" s="181">
        <f t="shared" ref="F36:F37" si="5">ROUND(D36*$C36,0)</f>
        <v>0</v>
      </c>
      <c r="G36" s="239">
        <v>0</v>
      </c>
      <c r="H36" s="99"/>
      <c r="I36" s="181">
        <f t="shared" ref="I36:I38" si="6">ROUND(G36*$C36,0)</f>
        <v>0</v>
      </c>
      <c r="J36" s="181"/>
      <c r="K36" s="90"/>
      <c r="L36" s="91"/>
      <c r="M36" s="91"/>
      <c r="N36" s="91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>
      <c r="A37" s="189" t="s">
        <v>77</v>
      </c>
      <c r="B37" s="185"/>
      <c r="C37" s="97">
        <v>-685392</v>
      </c>
      <c r="D37" s="239">
        <v>0</v>
      </c>
      <c r="E37" s="239"/>
      <c r="F37" s="181">
        <f t="shared" si="5"/>
        <v>0</v>
      </c>
      <c r="G37" s="239">
        <v>0</v>
      </c>
      <c r="H37" s="99"/>
      <c r="I37" s="181">
        <f t="shared" si="6"/>
        <v>0</v>
      </c>
      <c r="J37" s="181"/>
      <c r="K37" s="90"/>
      <c r="L37" s="91"/>
      <c r="M37" s="91"/>
      <c r="N37" s="91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>
      <c r="A38" s="118" t="s">
        <v>79</v>
      </c>
      <c r="B38" s="240"/>
      <c r="C38" s="102">
        <v>-14720240</v>
      </c>
      <c r="D38" s="239">
        <f>ROUND(F38/C38,6)</f>
        <v>1.332E-2</v>
      </c>
      <c r="E38" s="99"/>
      <c r="F38" s="241">
        <v>-196073</v>
      </c>
      <c r="G38" s="239">
        <f>D38</f>
        <v>1.332E-2</v>
      </c>
      <c r="H38" s="99"/>
      <c r="I38" s="241">
        <f t="shared" si="6"/>
        <v>-196074</v>
      </c>
      <c r="J38" s="181"/>
      <c r="K38" s="90"/>
      <c r="L38" s="91"/>
      <c r="M38" s="91"/>
      <c r="N38" s="91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>
      <c r="A39" s="223" t="s">
        <v>34</v>
      </c>
      <c r="B39" s="240"/>
      <c r="C39" s="109">
        <f>SUM(C36:C38)</f>
        <v>335987764</v>
      </c>
      <c r="D39" s="239"/>
      <c r="E39" s="99"/>
      <c r="F39" s="181">
        <f>SUM(F36:F38)</f>
        <v>-196073</v>
      </c>
      <c r="G39" s="239"/>
      <c r="H39" s="99"/>
      <c r="I39" s="181">
        <f>SUM(I36:I38)</f>
        <v>-196074</v>
      </c>
      <c r="J39" s="181"/>
      <c r="K39" s="90"/>
      <c r="L39" s="91"/>
      <c r="M39" s="91"/>
      <c r="N39" s="91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>
      <c r="A40" s="223"/>
      <c r="B40" s="99"/>
      <c r="C40" s="97"/>
      <c r="D40" s="237"/>
      <c r="E40" s="99"/>
      <c r="F40" s="181"/>
      <c r="G40" s="237"/>
      <c r="H40" s="99"/>
      <c r="I40" s="181"/>
      <c r="J40" s="181"/>
      <c r="K40" s="90"/>
      <c r="L40" s="91"/>
      <c r="M40" s="91"/>
      <c r="N40" s="91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6.5" thickBot="1">
      <c r="A41" s="99" t="s">
        <v>38</v>
      </c>
      <c r="B41" s="99"/>
      <c r="C41" s="109"/>
      <c r="D41" s="104"/>
      <c r="E41" s="235"/>
      <c r="F41" s="211">
        <f>SUM(F39,F33,F30)</f>
        <v>5493907</v>
      </c>
      <c r="G41" s="104"/>
      <c r="H41" s="235"/>
      <c r="I41" s="211">
        <f>SUM(I39,I33,I30)</f>
        <v>4353192.68</v>
      </c>
      <c r="J41" s="105"/>
      <c r="K41" s="90"/>
      <c r="L41" s="91"/>
      <c r="M41" s="91"/>
      <c r="N41" s="91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ht="16.5" thickTop="1">
      <c r="A42" s="223"/>
      <c r="B42" s="99"/>
      <c r="C42" s="97"/>
      <c r="D42" s="237"/>
      <c r="E42" s="99"/>
      <c r="F42" s="181"/>
      <c r="G42" s="237"/>
      <c r="H42" s="99"/>
      <c r="I42" s="181"/>
      <c r="J42" s="181"/>
      <c r="K42" s="90"/>
      <c r="L42" s="91"/>
      <c r="M42" s="91"/>
      <c r="N42" s="91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>
      <c r="A43" s="230" t="s">
        <v>150</v>
      </c>
      <c r="B43" s="99"/>
      <c r="C43" s="99" t="s">
        <v>0</v>
      </c>
      <c r="D43" s="181"/>
      <c r="E43" s="99"/>
      <c r="F43" s="99"/>
      <c r="G43" s="181"/>
      <c r="H43" s="99"/>
      <c r="I43" s="99"/>
      <c r="J43" s="99"/>
      <c r="K43" s="90"/>
      <c r="L43" s="91"/>
      <c r="M43" s="91"/>
      <c r="N43" s="91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>
      <c r="A44" s="230" t="s">
        <v>75</v>
      </c>
      <c r="B44" s="99"/>
      <c r="C44" s="99"/>
      <c r="D44" s="181"/>
      <c r="E44" s="99"/>
      <c r="F44" s="99"/>
      <c r="G44" s="181"/>
      <c r="H44" s="99"/>
      <c r="I44" s="99"/>
      <c r="J44" s="99"/>
      <c r="K44" s="90"/>
      <c r="L44" s="91"/>
      <c r="M44" s="91"/>
      <c r="N44" s="91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>
      <c r="A45" s="230" t="s">
        <v>139</v>
      </c>
      <c r="B45" s="99"/>
      <c r="C45" s="97">
        <v>96</v>
      </c>
      <c r="D45" s="237"/>
      <c r="E45" s="99"/>
      <c r="F45" s="181"/>
      <c r="G45" s="237"/>
      <c r="H45" s="99"/>
      <c r="I45" s="181"/>
      <c r="J45" s="100"/>
      <c r="K45" s="329"/>
      <c r="L45" s="329"/>
      <c r="M45" s="329"/>
      <c r="N45" s="91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>
      <c r="A46" s="99" t="s">
        <v>83</v>
      </c>
      <c r="B46" s="99"/>
      <c r="C46" s="97"/>
      <c r="D46" s="239"/>
      <c r="E46" s="99"/>
      <c r="F46" s="181"/>
      <c r="G46" s="239"/>
      <c r="H46" s="99"/>
      <c r="I46" s="181"/>
      <c r="J46" s="99"/>
      <c r="M46" s="98"/>
      <c r="N46" s="91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>
      <c r="A47" s="189" t="s">
        <v>49</v>
      </c>
      <c r="B47" s="99"/>
      <c r="C47" s="97">
        <v>7130880</v>
      </c>
      <c r="D47" s="239">
        <v>3.5139999999999998E-2</v>
      </c>
      <c r="E47" s="99"/>
      <c r="F47" s="181">
        <f t="shared" ref="F47:F48" si="7">ROUND(D47*$C47,0)</f>
        <v>250579</v>
      </c>
      <c r="G47" s="239">
        <f>D47</f>
        <v>3.5139999999999998E-2</v>
      </c>
      <c r="H47" s="99"/>
      <c r="I47" s="181">
        <f t="shared" ref="I47:I49" si="8">ROUND(G47*$C47,0)</f>
        <v>250579</v>
      </c>
      <c r="J47" s="100"/>
      <c r="K47" s="329"/>
      <c r="L47" s="329"/>
      <c r="M47" s="329"/>
      <c r="N47" s="91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</row>
    <row r="48" spans="1:31">
      <c r="A48" s="189" t="s">
        <v>77</v>
      </c>
      <c r="B48" s="185"/>
      <c r="C48" s="97">
        <v>113425.48433827792</v>
      </c>
      <c r="D48" s="239">
        <v>3.5139999999999998E-2</v>
      </c>
      <c r="E48" s="239"/>
      <c r="F48" s="181">
        <f t="shared" si="7"/>
        <v>3986</v>
      </c>
      <c r="G48" s="239">
        <f>D48</f>
        <v>3.5139999999999998E-2</v>
      </c>
      <c r="H48" s="99"/>
      <c r="I48" s="181">
        <f t="shared" si="8"/>
        <v>3986</v>
      </c>
      <c r="J48" s="100"/>
    </row>
    <row r="49" spans="1:13">
      <c r="A49" s="118" t="s">
        <v>79</v>
      </c>
      <c r="B49" s="240"/>
      <c r="C49" s="102">
        <v>-46730</v>
      </c>
      <c r="D49" s="239">
        <v>3.2848000000000002E-2</v>
      </c>
      <c r="E49" s="99"/>
      <c r="F49" s="241">
        <v>-1535</v>
      </c>
      <c r="G49" s="239">
        <f>D49</f>
        <v>3.2848000000000002E-2</v>
      </c>
      <c r="H49" s="99"/>
      <c r="I49" s="241">
        <f t="shared" si="8"/>
        <v>-1535</v>
      </c>
      <c r="J49" s="100"/>
      <c r="K49" s="329"/>
      <c r="L49" s="329"/>
      <c r="M49" s="329"/>
    </row>
    <row r="50" spans="1:13">
      <c r="A50" s="223" t="s">
        <v>34</v>
      </c>
      <c r="B50" s="240"/>
      <c r="C50" s="109">
        <f>SUM(C47:C49)</f>
        <v>7197575.484338278</v>
      </c>
      <c r="D50" s="239"/>
      <c r="E50" s="99"/>
      <c r="F50" s="181">
        <f>SUM(F47:F49)</f>
        <v>253030</v>
      </c>
      <c r="G50" s="239"/>
      <c r="H50" s="99"/>
      <c r="I50" s="181">
        <f>SUM(I47:I49)</f>
        <v>253030</v>
      </c>
      <c r="J50" s="100"/>
      <c r="M50" s="98"/>
    </row>
    <row r="51" spans="1:13">
      <c r="A51" s="223"/>
      <c r="B51" s="240"/>
      <c r="C51" s="109"/>
      <c r="D51" s="239"/>
      <c r="E51" s="99"/>
      <c r="F51" s="181"/>
      <c r="G51" s="239"/>
      <c r="H51" s="99"/>
      <c r="I51" s="181"/>
      <c r="J51" s="100"/>
      <c r="M51" s="98"/>
    </row>
    <row r="52" spans="1:13">
      <c r="A52" s="99" t="s">
        <v>151</v>
      </c>
      <c r="B52" s="99"/>
      <c r="C52" s="97">
        <v>14252</v>
      </c>
      <c r="D52" s="242">
        <v>5.25</v>
      </c>
      <c r="E52" s="99"/>
      <c r="F52" s="181">
        <f t="shared" ref="F52" si="9">ROUND(D52*$C52,0)</f>
        <v>74823</v>
      </c>
      <c r="G52" s="242">
        <f>D52</f>
        <v>5.25</v>
      </c>
      <c r="H52" s="99"/>
      <c r="I52" s="181">
        <f t="shared" ref="I52" si="10">ROUND(G52*$C52,0)</f>
        <v>74823</v>
      </c>
      <c r="J52" s="100"/>
      <c r="M52" s="98"/>
    </row>
    <row r="53" spans="1:13">
      <c r="A53" s="99"/>
      <c r="B53" s="99"/>
      <c r="C53" s="109"/>
      <c r="D53" s="104"/>
      <c r="E53" s="235"/>
      <c r="F53" s="100"/>
      <c r="G53" s="104"/>
      <c r="H53" s="235"/>
      <c r="I53" s="100"/>
      <c r="J53" s="100"/>
      <c r="M53" s="98"/>
    </row>
    <row r="54" spans="1:13">
      <c r="A54" s="230" t="s">
        <v>136</v>
      </c>
      <c r="B54" s="99"/>
      <c r="C54" s="97">
        <v>1895520</v>
      </c>
      <c r="D54" s="245">
        <v>2.5000000000000001E-4</v>
      </c>
      <c r="E54" s="99"/>
      <c r="F54" s="181">
        <f t="shared" ref="F54" si="11">ROUND(D54*$C54,0)</f>
        <v>474</v>
      </c>
      <c r="G54" s="245">
        <f>D54</f>
        <v>2.5000000000000001E-4</v>
      </c>
      <c r="H54" s="99"/>
      <c r="I54" s="181">
        <f t="shared" ref="I54" si="12">ROUND(G54*$C54,0)</f>
        <v>474</v>
      </c>
      <c r="J54" s="100"/>
      <c r="K54" s="291"/>
      <c r="M54" s="98"/>
    </row>
    <row r="55" spans="1:13">
      <c r="A55" s="230"/>
      <c r="B55" s="99"/>
      <c r="C55" s="97"/>
      <c r="D55" s="245"/>
      <c r="E55" s="99"/>
      <c r="F55" s="181"/>
      <c r="G55" s="245"/>
      <c r="H55" s="99"/>
      <c r="I55" s="181"/>
      <c r="J55" s="100"/>
      <c r="K55" s="291"/>
      <c r="M55" s="98"/>
    </row>
    <row r="56" spans="1:13">
      <c r="A56" s="230" t="s">
        <v>152</v>
      </c>
      <c r="B56" s="99"/>
      <c r="C56" s="97"/>
      <c r="D56" s="245"/>
      <c r="E56" s="99"/>
      <c r="F56" s="181"/>
      <c r="G56" s="245"/>
      <c r="H56" s="99"/>
      <c r="I56" s="181">
        <f>'Exhibit No.__(JAP-Rate Spread)'!J30*1000</f>
        <v>362217.29920936446</v>
      </c>
      <c r="J56" s="100"/>
      <c r="K56" s="329" t="s">
        <v>153</v>
      </c>
      <c r="L56" s="329"/>
      <c r="M56" s="329"/>
    </row>
    <row r="57" spans="1:13">
      <c r="A57" s="118"/>
      <c r="B57" s="240"/>
      <c r="C57" s="109"/>
      <c r="D57" s="239"/>
      <c r="E57" s="99"/>
      <c r="F57" s="181"/>
      <c r="G57" s="239"/>
      <c r="H57" s="99"/>
      <c r="I57" s="181"/>
      <c r="J57" s="100"/>
      <c r="M57" s="91"/>
    </row>
    <row r="58" spans="1:13" ht="16.5" thickBot="1">
      <c r="A58" s="99" t="s">
        <v>38</v>
      </c>
      <c r="B58" s="99"/>
      <c r="C58" s="109"/>
      <c r="D58" s="104"/>
      <c r="E58" s="235"/>
      <c r="F58" s="211">
        <f>SUM(F52,F50,F45,F54)</f>
        <v>328327</v>
      </c>
      <c r="G58" s="104"/>
      <c r="H58" s="235"/>
      <c r="I58" s="211">
        <f>SUM(I52,I50,I45,I54,I56)</f>
        <v>690544.29920936446</v>
      </c>
      <c r="J58" s="105"/>
      <c r="K58" s="106" t="s">
        <v>36</v>
      </c>
      <c r="L58" s="107">
        <f>'Exhibit No.__(JAP-Rate Spread)'!J30*1000+F58</f>
        <v>690544.29920936446</v>
      </c>
      <c r="M58" s="108">
        <f>L58/SUM(F52,F58)-1</f>
        <v>0.71287188195303108</v>
      </c>
    </row>
    <row r="59" spans="1:13" ht="16.5" thickTop="1">
      <c r="A59" s="99"/>
      <c r="B59" s="99"/>
      <c r="C59" s="97"/>
      <c r="D59" s="244"/>
      <c r="E59" s="99"/>
      <c r="F59" s="181"/>
      <c r="G59" s="244"/>
      <c r="H59" s="99"/>
      <c r="I59" s="181"/>
      <c r="J59" s="181"/>
      <c r="K59" s="110" t="s">
        <v>37</v>
      </c>
      <c r="L59" s="111">
        <f>L58-I58</f>
        <v>0</v>
      </c>
      <c r="M59" s="43" t="s">
        <v>0</v>
      </c>
    </row>
  </sheetData>
  <mergeCells count="11">
    <mergeCell ref="K47:M47"/>
    <mergeCell ref="K49:M49"/>
    <mergeCell ref="K56:M56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8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2"/>
  <sheetViews>
    <sheetView zoomScale="80" zoomScaleNormal="80" workbookViewId="0">
      <pane xSplit="2" ySplit="10" topLeftCell="C11" activePane="bottomRight" state="frozen"/>
      <selection activeCellId="1" sqref="A1:J1 A1:XFD1048576"/>
      <selection pane="topRight" activeCellId="1" sqref="A1:J1 A1:XFD1048576"/>
      <selection pane="bottomLeft" activeCellId="1" sqref="A1:J1 A1:XFD1048576"/>
      <selection pane="bottomRight" activeCell="C11" sqref="C11"/>
    </sheetView>
  </sheetViews>
  <sheetFormatPr defaultColWidth="8.75" defaultRowHeight="15.75"/>
  <cols>
    <col min="1" max="1" width="60.5" style="178" bestFit="1" customWidth="1"/>
    <col min="2" max="2" width="2.5" style="178" customWidth="1"/>
    <col min="3" max="3" width="12.625" style="178" bestFit="1" customWidth="1"/>
    <col min="4" max="4" width="10.75" style="178" bestFit="1" customWidth="1"/>
    <col min="5" max="5" width="2.5" style="178" customWidth="1"/>
    <col min="6" max="6" width="11.625" style="178" bestFit="1" customWidth="1"/>
    <col min="7" max="7" width="14.25" style="178" customWidth="1"/>
    <col min="8" max="8" width="13.5" style="178" customWidth="1"/>
    <col min="9" max="9" width="2.5" style="178" customWidth="1"/>
    <col min="10" max="10" width="13.875" style="178" bestFit="1" customWidth="1"/>
    <col min="11" max="11" width="11.25" style="178" bestFit="1" customWidth="1"/>
    <col min="12" max="12" width="11" style="178" bestFit="1" customWidth="1"/>
    <col min="13" max="13" width="2.5" style="178" customWidth="1"/>
    <col min="14" max="14" width="12.25" style="178" bestFit="1" customWidth="1"/>
    <col min="15" max="15" width="11.625" style="178" bestFit="1" customWidth="1"/>
    <col min="16" max="16" width="11.25" style="178" bestFit="1" customWidth="1"/>
    <col min="17" max="17" width="2.5" style="178" customWidth="1"/>
    <col min="18" max="18" width="11.25" style="178" bestFit="1" customWidth="1"/>
    <col min="19" max="19" width="14.875" style="178" bestFit="1" customWidth="1"/>
    <col min="20" max="20" width="12.25" style="178" bestFit="1" customWidth="1"/>
    <col min="21" max="21" width="14.875" style="178" bestFit="1" customWidth="1"/>
    <col min="22" max="16384" width="8.75" style="178"/>
  </cols>
  <sheetData>
    <row r="1" spans="1:21" ht="18">
      <c r="A1" s="331" t="s">
        <v>51</v>
      </c>
      <c r="B1" s="331"/>
      <c r="C1" s="331"/>
      <c r="D1" s="331"/>
      <c r="E1" s="331"/>
      <c r="F1" s="331"/>
      <c r="G1" s="331"/>
      <c r="H1" s="331"/>
      <c r="I1" s="26"/>
    </row>
    <row r="2" spans="1:21" ht="18">
      <c r="A2" s="331" t="s">
        <v>28</v>
      </c>
      <c r="B2" s="331"/>
      <c r="C2" s="331"/>
      <c r="D2" s="331"/>
      <c r="E2" s="331"/>
      <c r="F2" s="331"/>
      <c r="G2" s="331"/>
      <c r="H2" s="331"/>
      <c r="I2" s="26"/>
    </row>
    <row r="3" spans="1:21">
      <c r="A3" s="332" t="str">
        <f>+'Exhibit No.__(JAP-Prof-Prop)'!A6</f>
        <v>12 MONTHS ENDED DECEMBER 2018</v>
      </c>
      <c r="B3" s="332"/>
      <c r="C3" s="332"/>
      <c r="D3" s="332"/>
      <c r="E3" s="332"/>
      <c r="F3" s="332"/>
      <c r="G3" s="332"/>
      <c r="H3" s="332"/>
      <c r="I3" s="27"/>
    </row>
    <row r="4" spans="1:21">
      <c r="A4" s="333" t="s">
        <v>29</v>
      </c>
      <c r="B4" s="333"/>
      <c r="C4" s="333"/>
      <c r="D4" s="333"/>
      <c r="E4" s="333"/>
      <c r="F4" s="333"/>
      <c r="G4" s="333"/>
      <c r="H4" s="333"/>
      <c r="I4" s="28"/>
    </row>
    <row r="5" spans="1:21">
      <c r="A5" s="29" t="s">
        <v>154</v>
      </c>
      <c r="B5" s="30"/>
      <c r="C5" s="30"/>
      <c r="D5" s="31"/>
      <c r="E5" s="31"/>
      <c r="F5" s="30"/>
      <c r="G5" s="31"/>
      <c r="H5" s="30"/>
      <c r="I5" s="30"/>
    </row>
    <row r="6" spans="1:21">
      <c r="A6" s="29"/>
      <c r="B6" s="30"/>
      <c r="C6" s="30"/>
      <c r="D6" s="31"/>
      <c r="E6" s="31"/>
      <c r="F6" s="30"/>
      <c r="G6" s="31"/>
      <c r="H6" s="30"/>
      <c r="I6" s="30"/>
    </row>
    <row r="7" spans="1:21">
      <c r="A7" s="30"/>
      <c r="B7" s="30"/>
      <c r="C7" s="30"/>
      <c r="D7" s="31"/>
      <c r="E7" s="31"/>
      <c r="F7" s="30"/>
      <c r="G7" s="31"/>
      <c r="H7" s="30"/>
      <c r="I7" s="30"/>
    </row>
    <row r="8" spans="1:21">
      <c r="A8" s="32"/>
      <c r="B8" s="32"/>
      <c r="C8" s="33"/>
      <c r="D8" s="34"/>
      <c r="E8" s="34"/>
      <c r="G8" s="34"/>
      <c r="H8" s="35"/>
      <c r="I8" s="35"/>
      <c r="J8" s="153"/>
      <c r="K8" s="153"/>
      <c r="L8" s="153"/>
    </row>
    <row r="9" spans="1:21">
      <c r="A9" s="32"/>
      <c r="B9" s="32"/>
      <c r="C9" s="195" t="s">
        <v>30</v>
      </c>
      <c r="D9" s="350" t="s">
        <v>3</v>
      </c>
      <c r="E9" s="345"/>
      <c r="F9" s="346"/>
      <c r="G9" s="344" t="str">
        <f>+'Exhibit No.__(JAP-Res RD)'!G9</f>
        <v>Proposed Effective May 2020</v>
      </c>
      <c r="H9" s="346"/>
      <c r="I9" s="35"/>
      <c r="J9" s="344" t="s">
        <v>48</v>
      </c>
      <c r="K9" s="345"/>
      <c r="L9" s="346"/>
      <c r="N9" s="344" t="s">
        <v>335</v>
      </c>
      <c r="O9" s="345"/>
      <c r="P9" s="346"/>
      <c r="R9" s="347" t="s">
        <v>336</v>
      </c>
      <c r="S9" s="348"/>
      <c r="T9" s="348"/>
    </row>
    <row r="10" spans="1:21" ht="29.25">
      <c r="A10" s="32"/>
      <c r="B10" s="32"/>
      <c r="C10" s="196" t="s">
        <v>544</v>
      </c>
      <c r="D10" s="37" t="s">
        <v>32</v>
      </c>
      <c r="E10" s="38"/>
      <c r="F10" s="35" t="s">
        <v>33</v>
      </c>
      <c r="G10" s="37" t="s">
        <v>32</v>
      </c>
      <c r="H10" s="37" t="s">
        <v>33</v>
      </c>
      <c r="I10" s="37"/>
      <c r="J10" s="153" t="s">
        <v>162</v>
      </c>
      <c r="K10" s="153" t="s">
        <v>163</v>
      </c>
      <c r="L10" s="153" t="s">
        <v>164</v>
      </c>
      <c r="N10" s="153" t="s">
        <v>162</v>
      </c>
      <c r="O10" s="153" t="s">
        <v>163</v>
      </c>
      <c r="P10" s="153" t="s">
        <v>164</v>
      </c>
      <c r="R10" s="200" t="s">
        <v>614</v>
      </c>
      <c r="S10" s="200" t="s">
        <v>337</v>
      </c>
      <c r="T10" s="200" t="s">
        <v>338</v>
      </c>
    </row>
    <row r="11" spans="1:21">
      <c r="A11" s="99"/>
      <c r="B11" s="99"/>
      <c r="C11" s="97"/>
      <c r="D11" s="42"/>
      <c r="E11" s="99"/>
      <c r="F11" s="181"/>
      <c r="G11" s="42"/>
      <c r="H11" s="181"/>
      <c r="I11" s="181"/>
    </row>
    <row r="12" spans="1:21">
      <c r="A12" s="349" t="s">
        <v>160</v>
      </c>
      <c r="B12" s="349"/>
      <c r="C12" s="349"/>
      <c r="D12" s="349"/>
      <c r="E12" s="349"/>
      <c r="F12" s="349"/>
      <c r="G12" s="349"/>
      <c r="H12" s="349"/>
      <c r="I12" s="181"/>
    </row>
    <row r="13" spans="1:21">
      <c r="A13" s="99" t="str">
        <f>A27</f>
        <v>SCHEDULE 50</v>
      </c>
      <c r="B13" s="99"/>
      <c r="C13" s="207">
        <f>C42</f>
        <v>132</v>
      </c>
      <c r="D13" s="42"/>
      <c r="E13" s="99"/>
      <c r="F13" s="181">
        <f>F46</f>
        <v>5911</v>
      </c>
      <c r="G13" s="42"/>
      <c r="H13" s="181">
        <f>H46</f>
        <v>6177</v>
      </c>
      <c r="I13" s="181"/>
      <c r="J13" s="179">
        <f>SUM(K13:L13)</f>
        <v>61085.033000000003</v>
      </c>
      <c r="K13" s="179">
        <f>C44</f>
        <v>61085.033000000003</v>
      </c>
      <c r="L13" s="179">
        <f>C45</f>
        <v>0</v>
      </c>
      <c r="N13" s="181">
        <f>SUM(O13:P13)</f>
        <v>5911</v>
      </c>
      <c r="O13" s="181">
        <f>F40</f>
        <v>5911</v>
      </c>
      <c r="P13" s="181">
        <f>ROUND(L13/($L$22-$L$21)*$P$22,0)</f>
        <v>0</v>
      </c>
      <c r="R13" s="181">
        <f t="shared" ref="R13:R21" si="0">S13-T13</f>
        <v>-0.23999999999978172</v>
      </c>
      <c r="S13" s="181">
        <f>H40</f>
        <v>6177</v>
      </c>
      <c r="T13" s="208">
        <v>6177.24</v>
      </c>
      <c r="U13" s="175"/>
    </row>
    <row r="14" spans="1:21">
      <c r="A14" s="99" t="str">
        <f>A48</f>
        <v>SCHEDULE 51</v>
      </c>
      <c r="B14" s="99"/>
      <c r="C14" s="207">
        <f>C65</f>
        <v>6967</v>
      </c>
      <c r="D14" s="42"/>
      <c r="E14" s="99"/>
      <c r="F14" s="181">
        <f>F69</f>
        <v>319090</v>
      </c>
      <c r="G14" s="42"/>
      <c r="H14" s="181">
        <f>H69</f>
        <v>486687</v>
      </c>
      <c r="I14" s="181"/>
      <c r="J14" s="179">
        <f t="shared" ref="J14:J21" si="1">SUM(K14:L14)</f>
        <v>1520753.4875000003</v>
      </c>
      <c r="K14" s="179">
        <f>C67</f>
        <v>1504065.4550000003</v>
      </c>
      <c r="L14" s="179">
        <f>C68</f>
        <v>16688.032500000001</v>
      </c>
      <c r="N14" s="181">
        <f t="shared" ref="N14:N21" si="2">SUM(O14:P14)</f>
        <v>319090</v>
      </c>
      <c r="O14" s="181">
        <f>F63</f>
        <v>315165</v>
      </c>
      <c r="P14" s="181">
        <f t="shared" ref="P14:P21" si="3">ROUND(L14/($L$22-$L$21)*$P$22,0)</f>
        <v>3925</v>
      </c>
      <c r="R14" s="181">
        <f t="shared" si="0"/>
        <v>-5.8480000006966293E-2</v>
      </c>
      <c r="S14" s="181">
        <f>$H$63</f>
        <v>482391</v>
      </c>
      <c r="T14" s="208">
        <v>482391.05848000001</v>
      </c>
      <c r="U14" s="175"/>
    </row>
    <row r="15" spans="1:21">
      <c r="A15" s="99" t="str">
        <f>A71</f>
        <v>SCHEDULE 52</v>
      </c>
      <c r="B15" s="99"/>
      <c r="C15" s="207">
        <f>C95</f>
        <v>29114</v>
      </c>
      <c r="D15" s="42"/>
      <c r="E15" s="99"/>
      <c r="F15" s="181">
        <f>F99</f>
        <v>2556376</v>
      </c>
      <c r="G15" s="42"/>
      <c r="H15" s="181">
        <f>H99</f>
        <v>1996116</v>
      </c>
      <c r="I15" s="181"/>
      <c r="J15" s="179">
        <f t="shared" si="1"/>
        <v>13261451.167000003</v>
      </c>
      <c r="K15" s="179">
        <f>C97</f>
        <v>13269924.935000002</v>
      </c>
      <c r="L15" s="179">
        <f>C98</f>
        <v>-8473.76800000004</v>
      </c>
      <c r="N15" s="181">
        <f t="shared" si="2"/>
        <v>2556376</v>
      </c>
      <c r="O15" s="181">
        <f>F93</f>
        <v>2558369</v>
      </c>
      <c r="P15" s="181">
        <f t="shared" si="3"/>
        <v>-1993</v>
      </c>
      <c r="R15" s="181">
        <f t="shared" si="0"/>
        <v>2.5236799998674542</v>
      </c>
      <c r="S15" s="181">
        <f>H93</f>
        <v>1998297</v>
      </c>
      <c r="T15" s="208">
        <v>1998294.4763200001</v>
      </c>
      <c r="U15" s="175"/>
    </row>
    <row r="16" spans="1:21">
      <c r="A16" s="99" t="str">
        <f>A102</f>
        <v>SCHEDULE 53</v>
      </c>
      <c r="B16" s="99"/>
      <c r="C16" s="207">
        <f>C158</f>
        <v>32137</v>
      </c>
      <c r="D16" s="42"/>
      <c r="E16" s="99"/>
      <c r="F16" s="181">
        <f>F162</f>
        <v>10963844</v>
      </c>
      <c r="G16" s="42"/>
      <c r="H16" s="181">
        <f>H162</f>
        <v>12577622</v>
      </c>
      <c r="I16" s="181"/>
      <c r="J16" s="179">
        <f t="shared" si="1"/>
        <v>38115031.006500006</v>
      </c>
      <c r="K16" s="179">
        <f>C160</f>
        <v>38270082.024000004</v>
      </c>
      <c r="L16" s="179">
        <f>C161</f>
        <v>-155051.01750000007</v>
      </c>
      <c r="N16" s="181">
        <f t="shared" si="2"/>
        <v>10963844</v>
      </c>
      <c r="O16" s="181">
        <f>F156</f>
        <v>11000314</v>
      </c>
      <c r="P16" s="181">
        <f t="shared" si="3"/>
        <v>-36470</v>
      </c>
      <c r="R16" s="181">
        <f t="shared" si="0"/>
        <v>0.13000000081956387</v>
      </c>
      <c r="S16" s="181">
        <f>H156</f>
        <v>12617541</v>
      </c>
      <c r="T16" s="208">
        <v>12617540.869999999</v>
      </c>
      <c r="U16" s="175"/>
    </row>
    <row r="17" spans="1:21">
      <c r="A17" s="99" t="str">
        <f>A167</f>
        <v>SCHEDULE 54</v>
      </c>
      <c r="B17" s="99"/>
      <c r="C17" s="207">
        <f>C191</f>
        <v>536</v>
      </c>
      <c r="D17" s="42"/>
      <c r="E17" s="99"/>
      <c r="F17" s="181">
        <f>F195</f>
        <v>573895</v>
      </c>
      <c r="G17" s="42"/>
      <c r="H17" s="181">
        <f>H195</f>
        <v>631607</v>
      </c>
      <c r="I17" s="181"/>
      <c r="J17" s="179">
        <f t="shared" si="1"/>
        <v>7126557.8660000004</v>
      </c>
      <c r="K17" s="179">
        <f>C193</f>
        <v>7136853.8660000004</v>
      </c>
      <c r="L17" s="179">
        <f>C194</f>
        <v>-10296</v>
      </c>
      <c r="N17" s="181">
        <f t="shared" si="2"/>
        <v>573895</v>
      </c>
      <c r="O17" s="181">
        <f>F189</f>
        <v>576317</v>
      </c>
      <c r="P17" s="181">
        <f t="shared" si="3"/>
        <v>-2422</v>
      </c>
      <c r="R17" s="181">
        <f t="shared" si="0"/>
        <v>-0.72999999998137355</v>
      </c>
      <c r="S17" s="181">
        <f>H189</f>
        <v>634258</v>
      </c>
      <c r="T17" s="208">
        <v>634258.73</v>
      </c>
      <c r="U17" s="175"/>
    </row>
    <row r="18" spans="1:21">
      <c r="A18" s="99" t="str">
        <f>A198</f>
        <v>SCHEDULES 55 &amp; 56</v>
      </c>
      <c r="B18" s="99"/>
      <c r="C18" s="207">
        <f>C224</f>
        <v>19938</v>
      </c>
      <c r="D18" s="42"/>
      <c r="E18" s="99"/>
      <c r="F18" s="181">
        <f>F228</f>
        <v>1118615</v>
      </c>
      <c r="G18" s="42"/>
      <c r="H18" s="181">
        <f>H228</f>
        <v>1259341</v>
      </c>
      <c r="I18" s="181"/>
      <c r="J18" s="179">
        <f t="shared" si="1"/>
        <v>3722072.6279999996</v>
      </c>
      <c r="K18" s="179">
        <f>C226</f>
        <v>3725069.7449999996</v>
      </c>
      <c r="L18" s="179">
        <f>C227</f>
        <v>-2997.1169999999838</v>
      </c>
      <c r="N18" s="181">
        <f t="shared" si="2"/>
        <v>1033195</v>
      </c>
      <c r="O18" s="181">
        <f>F222-F221-F220</f>
        <v>1033900</v>
      </c>
      <c r="P18" s="181">
        <f t="shared" si="3"/>
        <v>-705</v>
      </c>
      <c r="R18" s="181">
        <f t="shared" si="0"/>
        <v>-1.4487294836435467</v>
      </c>
      <c r="S18" s="181">
        <f>H222-H220-H221</f>
        <v>1162613</v>
      </c>
      <c r="T18" s="208">
        <v>1162614.4487294836</v>
      </c>
      <c r="U18" s="175"/>
    </row>
    <row r="19" spans="1:21">
      <c r="A19" s="99" t="str">
        <f>A231</f>
        <v>SCHEDULE 57</v>
      </c>
      <c r="B19" s="99"/>
      <c r="C19" s="207">
        <f>C237</f>
        <v>1276</v>
      </c>
      <c r="D19" s="42"/>
      <c r="E19" s="99"/>
      <c r="F19" s="181">
        <f>F241</f>
        <v>497136</v>
      </c>
      <c r="G19" s="42"/>
      <c r="H19" s="181">
        <f>H241</f>
        <v>608231</v>
      </c>
      <c r="I19" s="181"/>
      <c r="J19" s="179">
        <f t="shared" si="1"/>
        <v>3895033.2549999999</v>
      </c>
      <c r="K19" s="179">
        <f>C239</f>
        <v>3966530.89</v>
      </c>
      <c r="L19" s="179">
        <f>C240</f>
        <v>-71497.635000000009</v>
      </c>
      <c r="N19" s="181">
        <f t="shared" si="2"/>
        <v>497136</v>
      </c>
      <c r="O19" s="181">
        <f>F235</f>
        <v>513953</v>
      </c>
      <c r="P19" s="181">
        <f t="shared" si="3"/>
        <v>-16817</v>
      </c>
      <c r="R19" s="181">
        <f t="shared" si="0"/>
        <v>-2.2639999864622951E-2</v>
      </c>
      <c r="S19" s="181">
        <f>H235</f>
        <v>626638</v>
      </c>
      <c r="T19" s="208">
        <v>626638.02263999986</v>
      </c>
      <c r="U19" s="175"/>
    </row>
    <row r="20" spans="1:21">
      <c r="A20" s="99" t="str">
        <f>A244</f>
        <v>SCHEDULES 58 &amp; 59</v>
      </c>
      <c r="B20" s="99"/>
      <c r="C20" s="207">
        <f>C287</f>
        <v>3850</v>
      </c>
      <c r="D20" s="42"/>
      <c r="E20" s="99"/>
      <c r="F20" s="181">
        <f>F291</f>
        <v>422637</v>
      </c>
      <c r="G20" s="42"/>
      <c r="H20" s="181">
        <f>H291</f>
        <v>451414</v>
      </c>
      <c r="I20" s="181"/>
      <c r="J20" s="179">
        <f t="shared" si="1"/>
        <v>2267120.8530000001</v>
      </c>
      <c r="K20" s="179">
        <f>C289</f>
        <v>2270980.27</v>
      </c>
      <c r="L20" s="179">
        <f>C290</f>
        <v>-3859.4170000000013</v>
      </c>
      <c r="N20" s="181">
        <f t="shared" si="2"/>
        <v>404063</v>
      </c>
      <c r="O20" s="181">
        <f>F285-F284</f>
        <v>404971</v>
      </c>
      <c r="P20" s="181">
        <f t="shared" si="3"/>
        <v>-908</v>
      </c>
      <c r="R20" s="181">
        <f t="shared" si="0"/>
        <v>2.4199999999837019</v>
      </c>
      <c r="S20" s="181">
        <f>H285-H284</f>
        <v>430520</v>
      </c>
      <c r="T20" s="208">
        <v>430517.58</v>
      </c>
      <c r="U20" s="175"/>
    </row>
    <row r="21" spans="1:21">
      <c r="A21" s="99" t="s">
        <v>339</v>
      </c>
      <c r="B21" s="99"/>
      <c r="C21" s="209"/>
      <c r="D21" s="42"/>
      <c r="E21" s="99"/>
      <c r="F21" s="181">
        <f>F292</f>
        <v>0</v>
      </c>
      <c r="G21" s="42"/>
      <c r="H21" s="181"/>
      <c r="I21" s="181"/>
      <c r="J21" s="179">
        <f t="shared" si="1"/>
        <v>0</v>
      </c>
      <c r="K21" s="179">
        <v>0</v>
      </c>
      <c r="L21" s="179">
        <v>0</v>
      </c>
      <c r="N21" s="181">
        <f t="shared" si="2"/>
        <v>103994</v>
      </c>
      <c r="O21" s="181">
        <f>SUM(F220:F221,F284)</f>
        <v>103994</v>
      </c>
      <c r="P21" s="181">
        <f t="shared" si="3"/>
        <v>0</v>
      </c>
      <c r="R21" s="181">
        <f t="shared" si="0"/>
        <v>-0.38999999999941792</v>
      </c>
      <c r="S21" s="181">
        <f>H220+H221+H284</f>
        <v>119388</v>
      </c>
      <c r="T21" s="208">
        <v>119388.39</v>
      </c>
      <c r="U21" s="175"/>
    </row>
    <row r="22" spans="1:21" ht="16.5" thickBot="1">
      <c r="A22" s="99" t="s">
        <v>161</v>
      </c>
      <c r="B22" s="99"/>
      <c r="C22" s="210">
        <f>SUM(C13:C21)</f>
        <v>93950</v>
      </c>
      <c r="D22" s="42"/>
      <c r="E22" s="99"/>
      <c r="F22" s="211">
        <f>SUM(F13:F21)</f>
        <v>16457504</v>
      </c>
      <c r="G22" s="42"/>
      <c r="H22" s="211">
        <f>SUM(H13:H21)</f>
        <v>18017195</v>
      </c>
      <c r="I22" s="181"/>
      <c r="J22" s="210">
        <f t="shared" ref="J22:L22" si="4">SUM(J13:J21)</f>
        <v>69969105.296000004</v>
      </c>
      <c r="K22" s="210">
        <f t="shared" si="4"/>
        <v>70204592.217999995</v>
      </c>
      <c r="L22" s="210">
        <f t="shared" si="4"/>
        <v>-235486.92200000014</v>
      </c>
      <c r="N22" s="211">
        <f>SUM(N13:N21)</f>
        <v>16457504</v>
      </c>
      <c r="O22" s="211">
        <f t="shared" ref="O22" si="5">SUM(O13:O21)</f>
        <v>16512894</v>
      </c>
      <c r="P22" s="212">
        <v>-55389</v>
      </c>
      <c r="R22" s="211">
        <f>SUM(R12:R21)</f>
        <v>2.1838305171750108</v>
      </c>
      <c r="S22" s="211">
        <f t="shared" ref="S22:T22" si="6">SUM(S12:S21)</f>
        <v>18077823</v>
      </c>
      <c r="T22" s="211">
        <f t="shared" si="6"/>
        <v>18077820.816169485</v>
      </c>
      <c r="U22" s="175"/>
    </row>
    <row r="23" spans="1:21" ht="16.5" thickTop="1">
      <c r="A23" s="99"/>
      <c r="B23" s="99"/>
      <c r="C23" s="213" t="s">
        <v>569</v>
      </c>
      <c r="D23" s="42"/>
      <c r="E23" s="99"/>
      <c r="F23" s="181"/>
      <c r="G23" s="42"/>
      <c r="H23" s="181"/>
      <c r="I23" s="181"/>
      <c r="O23" s="182"/>
      <c r="P23" s="182"/>
    </row>
    <row r="24" spans="1:21" ht="16.5" thickBot="1">
      <c r="A24" s="99"/>
      <c r="B24" s="99"/>
      <c r="C24" s="97"/>
      <c r="D24" s="42"/>
      <c r="E24" s="99"/>
      <c r="F24" s="181"/>
      <c r="G24" s="42"/>
      <c r="H24" s="211">
        <f>+'Exhibit No.__(JAP-Rate Spread)'!K26*1000</f>
        <v>18013932.947580822</v>
      </c>
      <c r="I24" s="181"/>
      <c r="N24" s="214"/>
      <c r="O24" s="191">
        <f>+'Exhibit No.__(JAP-Rate Spread)'!I26</f>
        <v>9.457260029107821E-2</v>
      </c>
      <c r="P24" s="98">
        <f>O24</f>
        <v>9.457260029107821E-2</v>
      </c>
      <c r="S24" s="175"/>
    </row>
    <row r="25" spans="1:21" ht="16.5" thickTop="1">
      <c r="A25" s="99"/>
      <c r="B25" s="99"/>
      <c r="C25" s="97"/>
      <c r="D25" s="42"/>
      <c r="E25" s="99"/>
      <c r="F25" s="181"/>
      <c r="G25" s="42"/>
      <c r="H25" s="100">
        <f>+H22-H24</f>
        <v>3262.0524191781878</v>
      </c>
      <c r="I25" s="181"/>
      <c r="N25" s="182">
        <f>SUM(O25:P25)</f>
        <v>1556429.0421534211</v>
      </c>
      <c r="O25" s="181">
        <f>O24*O22</f>
        <v>1561667.3239109437</v>
      </c>
      <c r="P25" s="181">
        <f>P24*P22</f>
        <v>-5238.2817575225308</v>
      </c>
      <c r="S25" s="175"/>
    </row>
    <row r="26" spans="1:21">
      <c r="A26" s="99"/>
      <c r="B26" s="99"/>
      <c r="C26" s="97"/>
      <c r="D26" s="42"/>
      <c r="E26" s="99"/>
      <c r="F26" s="181"/>
      <c r="G26" s="42"/>
      <c r="H26" s="100"/>
      <c r="I26" s="181"/>
      <c r="N26" s="182">
        <f>SUM(O26:P26)</f>
        <v>18013934.042153422</v>
      </c>
      <c r="O26" s="182">
        <f>O25+O22</f>
        <v>18074561.323910944</v>
      </c>
      <c r="P26" s="182">
        <f>P25+P22</f>
        <v>-60627.281757522534</v>
      </c>
      <c r="S26" s="175"/>
    </row>
    <row r="27" spans="1:21">
      <c r="A27" s="349" t="s">
        <v>155</v>
      </c>
      <c r="B27" s="349"/>
      <c r="C27" s="349"/>
      <c r="D27" s="349"/>
      <c r="E27" s="349"/>
      <c r="F27" s="349"/>
      <c r="G27" s="349"/>
      <c r="H27" s="349"/>
      <c r="I27" s="99"/>
    </row>
    <row r="28" spans="1:21">
      <c r="A28" s="99" t="s">
        <v>340</v>
      </c>
      <c r="B28" s="99"/>
      <c r="C28" s="99"/>
      <c r="D28" s="99"/>
      <c r="E28" s="99"/>
      <c r="F28" s="181"/>
      <c r="G28" s="99"/>
      <c r="H28" s="99"/>
      <c r="I28" s="99"/>
    </row>
    <row r="29" spans="1:21">
      <c r="A29" s="99"/>
      <c r="B29" s="99"/>
      <c r="C29" s="99"/>
      <c r="D29" s="99"/>
      <c r="E29" s="99"/>
      <c r="F29" s="181"/>
      <c r="G29" s="99"/>
      <c r="H29" s="99"/>
      <c r="I29" s="99"/>
    </row>
    <row r="30" spans="1:21">
      <c r="A30" s="215" t="s">
        <v>341</v>
      </c>
      <c r="C30" s="179">
        <v>708</v>
      </c>
      <c r="D30" s="216">
        <f>+'Tariff Summary Lights'!F6</f>
        <v>0.68</v>
      </c>
      <c r="F30" s="181">
        <f>IF(D30="n/a",0,ROUND(C30*D30,0))</f>
        <v>481</v>
      </c>
      <c r="G30" s="216">
        <v>0.75</v>
      </c>
      <c r="H30" s="181">
        <f>ROUND(G30*$C30,0)</f>
        <v>531</v>
      </c>
      <c r="I30" s="181"/>
      <c r="L30" s="216"/>
      <c r="S30" s="216"/>
      <c r="T30" s="181"/>
    </row>
    <row r="31" spans="1:21">
      <c r="A31" s="177"/>
      <c r="C31" s="179"/>
      <c r="D31" s="216"/>
      <c r="F31" s="181"/>
      <c r="G31" s="217"/>
      <c r="H31" s="181"/>
      <c r="I31" s="181"/>
      <c r="S31" s="217"/>
      <c r="T31" s="181"/>
    </row>
    <row r="32" spans="1:21">
      <c r="A32" s="215" t="s">
        <v>342</v>
      </c>
      <c r="C32" s="179">
        <v>36</v>
      </c>
      <c r="D32" s="216">
        <f>+'Tariff Summary Lights'!F7</f>
        <v>5.19</v>
      </c>
      <c r="F32" s="181">
        <f t="shared" ref="F32:F34" si="7">IF(D32="n/a",0,ROUND(C32*D32,0))</f>
        <v>187</v>
      </c>
      <c r="G32" s="216">
        <v>5.0599999999999996</v>
      </c>
      <c r="H32" s="181">
        <f t="shared" ref="H32:H34" si="8">ROUND(G32*$C32,0)</f>
        <v>182</v>
      </c>
      <c r="I32" s="181"/>
      <c r="L32" s="216"/>
      <c r="S32" s="216"/>
      <c r="T32" s="181"/>
    </row>
    <row r="33" spans="1:20">
      <c r="A33" s="215" t="s">
        <v>343</v>
      </c>
      <c r="C33" s="179">
        <v>228</v>
      </c>
      <c r="D33" s="216">
        <f>+'Tariff Summary Lights'!F8</f>
        <v>7.5</v>
      </c>
      <c r="F33" s="181">
        <f t="shared" si="7"/>
        <v>1710</v>
      </c>
      <c r="G33" s="216">
        <v>7.6</v>
      </c>
      <c r="H33" s="181">
        <f t="shared" si="8"/>
        <v>1733</v>
      </c>
      <c r="I33" s="181"/>
      <c r="L33" s="216"/>
      <c r="S33" s="216"/>
      <c r="T33" s="181"/>
    </row>
    <row r="34" spans="1:20">
      <c r="A34" s="215" t="s">
        <v>344</v>
      </c>
      <c r="C34" s="179">
        <v>240</v>
      </c>
      <c r="D34" s="216">
        <f>+'Tariff Summary Lights'!F9</f>
        <v>14.45</v>
      </c>
      <c r="F34" s="181">
        <f t="shared" si="7"/>
        <v>3468</v>
      </c>
      <c r="G34" s="216">
        <v>15.25</v>
      </c>
      <c r="H34" s="181">
        <f t="shared" si="8"/>
        <v>3660</v>
      </c>
      <c r="I34" s="181"/>
      <c r="L34" s="216"/>
      <c r="S34" s="216"/>
      <c r="T34" s="181"/>
    </row>
    <row r="35" spans="1:20">
      <c r="A35" s="177"/>
      <c r="C35" s="179"/>
      <c r="D35" s="217"/>
      <c r="F35" s="181"/>
      <c r="G35" s="217"/>
      <c r="H35" s="181"/>
      <c r="I35" s="181"/>
      <c r="L35" s="216"/>
      <c r="S35" s="217"/>
      <c r="T35" s="181"/>
    </row>
    <row r="36" spans="1:20">
      <c r="A36" s="215" t="s">
        <v>345</v>
      </c>
      <c r="C36" s="179">
        <v>0</v>
      </c>
      <c r="D36" s="216">
        <f>+'Tariff Summary Lights'!F11</f>
        <v>3.09</v>
      </c>
      <c r="F36" s="181">
        <f t="shared" ref="F36:F39" si="9">IF(D36="n/a",0,ROUND(C36*D36,0))</f>
        <v>0</v>
      </c>
      <c r="G36" s="216">
        <v>3.4</v>
      </c>
      <c r="H36" s="181">
        <f t="shared" ref="H36:H39" si="10">ROUND(G36*$C36,0)</f>
        <v>0</v>
      </c>
      <c r="I36" s="181"/>
      <c r="L36" s="216"/>
      <c r="S36" s="216"/>
      <c r="T36" s="181"/>
    </row>
    <row r="37" spans="1:20">
      <c r="A37" s="215" t="s">
        <v>346</v>
      </c>
      <c r="C37" s="179">
        <v>12</v>
      </c>
      <c r="D37" s="216">
        <f>+'Tariff Summary Lights'!F12</f>
        <v>5.4</v>
      </c>
      <c r="F37" s="181">
        <f t="shared" si="9"/>
        <v>65</v>
      </c>
      <c r="G37" s="216">
        <v>5.94</v>
      </c>
      <c r="H37" s="181">
        <f t="shared" si="10"/>
        <v>71</v>
      </c>
      <c r="I37" s="181"/>
      <c r="L37" s="216"/>
      <c r="S37" s="216"/>
      <c r="T37" s="181"/>
    </row>
    <row r="38" spans="1:20">
      <c r="A38" s="215" t="s">
        <v>347</v>
      </c>
      <c r="C38" s="179">
        <v>0</v>
      </c>
      <c r="D38" s="216">
        <f>+'Tariff Summary Lights'!F13</f>
        <v>12.35</v>
      </c>
      <c r="F38" s="181">
        <f t="shared" si="9"/>
        <v>0</v>
      </c>
      <c r="G38" s="216">
        <v>13.59</v>
      </c>
      <c r="H38" s="181">
        <f t="shared" si="10"/>
        <v>0</v>
      </c>
      <c r="I38" s="181"/>
      <c r="L38" s="216"/>
      <c r="S38" s="216"/>
      <c r="T38" s="181"/>
    </row>
    <row r="39" spans="1:20">
      <c r="A39" s="215" t="s">
        <v>348</v>
      </c>
      <c r="C39" s="179">
        <v>0</v>
      </c>
      <c r="D39" s="216">
        <f>+'Tariff Summary Lights'!F14</f>
        <v>21.61</v>
      </c>
      <c r="F39" s="181">
        <f t="shared" si="9"/>
        <v>0</v>
      </c>
      <c r="G39" s="216">
        <v>23.78</v>
      </c>
      <c r="H39" s="181">
        <f t="shared" si="10"/>
        <v>0</v>
      </c>
      <c r="I39" s="181"/>
      <c r="L39" s="216"/>
      <c r="S39" s="216"/>
      <c r="T39" s="181"/>
    </row>
    <row r="40" spans="1:20">
      <c r="A40" s="218" t="s">
        <v>34</v>
      </c>
      <c r="C40" s="219">
        <f>SUM(C30:C39)</f>
        <v>1224</v>
      </c>
      <c r="D40" s="176"/>
      <c r="F40" s="220">
        <f>SUM(F30:F39)</f>
        <v>5911</v>
      </c>
      <c r="G40" s="176"/>
      <c r="H40" s="220">
        <f>SUM(H30:H39)</f>
        <v>6177</v>
      </c>
      <c r="I40" s="181"/>
      <c r="L40" s="216"/>
      <c r="T40" s="220"/>
    </row>
    <row r="41" spans="1:20">
      <c r="A41" s="215"/>
      <c r="C41" s="179"/>
      <c r="D41" s="176"/>
      <c r="F41" s="181"/>
      <c r="G41" s="176"/>
      <c r="H41" s="181"/>
      <c r="I41" s="181"/>
      <c r="L41" s="216"/>
    </row>
    <row r="42" spans="1:20">
      <c r="A42" s="189" t="s">
        <v>139</v>
      </c>
      <c r="B42" s="99"/>
      <c r="C42" s="209">
        <v>132</v>
      </c>
      <c r="D42" s="217"/>
      <c r="F42" s="181"/>
      <c r="G42" s="217"/>
      <c r="H42" s="181"/>
      <c r="I42" s="181"/>
    </row>
    <row r="43" spans="1:20">
      <c r="A43" s="177"/>
      <c r="C43" s="179"/>
      <c r="D43" s="217"/>
      <c r="F43" s="181"/>
      <c r="G43" s="217"/>
      <c r="H43" s="181"/>
      <c r="I43" s="181"/>
    </row>
    <row r="44" spans="1:20">
      <c r="A44" s="177" t="s">
        <v>349</v>
      </c>
      <c r="C44" s="179">
        <v>61085.033000000003</v>
      </c>
      <c r="E44" s="180"/>
      <c r="F44" s="181"/>
      <c r="H44" s="181"/>
      <c r="I44" s="180"/>
      <c r="K44" s="182"/>
    </row>
    <row r="45" spans="1:20">
      <c r="A45" s="177" t="s">
        <v>350</v>
      </c>
      <c r="C45" s="179">
        <v>0</v>
      </c>
      <c r="D45" s="221">
        <f>IF(C45=0,0,ROUND(F45/C45,6))</f>
        <v>0</v>
      </c>
      <c r="E45" s="183"/>
      <c r="F45" s="181">
        <f>$P$13</f>
        <v>0</v>
      </c>
      <c r="G45" s="221">
        <f>IF(C45=0,0,ROUND(H45/C45,6))</f>
        <v>0</v>
      </c>
      <c r="H45" s="181">
        <f>ROUND(+F45*(1+J45),0)</f>
        <v>0</v>
      </c>
      <c r="I45" s="183"/>
      <c r="J45" s="98">
        <f>+'Exhibit No.__(JAP-Rate Spread)'!I26</f>
        <v>9.457260029107821E-2</v>
      </c>
      <c r="K45" s="329" t="s">
        <v>351</v>
      </c>
      <c r="L45" s="329"/>
      <c r="M45" s="222"/>
      <c r="N45" s="222"/>
      <c r="O45" s="222"/>
      <c r="P45" s="222"/>
      <c r="Q45" s="222"/>
      <c r="R45" s="222"/>
      <c r="S45" s="222"/>
      <c r="T45" s="222"/>
    </row>
    <row r="46" spans="1:20" ht="16.5" thickBot="1">
      <c r="A46" s="223" t="s">
        <v>35</v>
      </c>
      <c r="C46" s="224">
        <f>SUM(C44:C45)</f>
        <v>61085.033000000003</v>
      </c>
      <c r="D46" s="100"/>
      <c r="F46" s="225">
        <f>SUM(F45,F40)</f>
        <v>5911</v>
      </c>
      <c r="G46" s="100"/>
      <c r="H46" s="225">
        <f>SUM(H45,H40)</f>
        <v>6177</v>
      </c>
    </row>
    <row r="47" spans="1:20" ht="16.5" thickTop="1">
      <c r="A47" s="15"/>
      <c r="C47" s="109"/>
      <c r="D47" s="100"/>
      <c r="E47" s="100"/>
      <c r="F47" s="100"/>
      <c r="G47" s="100"/>
      <c r="H47" s="100"/>
      <c r="I47" s="100"/>
    </row>
    <row r="48" spans="1:20">
      <c r="A48" s="349" t="s">
        <v>45</v>
      </c>
      <c r="B48" s="349"/>
      <c r="C48" s="349"/>
      <c r="D48" s="349"/>
      <c r="E48" s="349"/>
      <c r="F48" s="349"/>
      <c r="G48" s="349"/>
      <c r="H48" s="349"/>
      <c r="I48" s="99"/>
    </row>
    <row r="49" spans="1:20">
      <c r="A49" s="99"/>
      <c r="B49" s="99"/>
      <c r="C49" s="99"/>
      <c r="D49" s="99"/>
      <c r="E49" s="99"/>
      <c r="F49" s="99"/>
      <c r="G49" s="99"/>
      <c r="H49" s="99"/>
      <c r="I49" s="99"/>
    </row>
    <row r="50" spans="1:20">
      <c r="A50" s="291" t="s">
        <v>517</v>
      </c>
      <c r="C50" s="179">
        <v>24817</v>
      </c>
      <c r="D50" s="216">
        <f>+'Tariff Summary Lights'!F19</f>
        <v>1.39</v>
      </c>
      <c r="F50" s="181">
        <f t="shared" ref="F50:F58" si="11">IF(D50="n/a",0,ROUND(C50*D50,0))</f>
        <v>34496</v>
      </c>
      <c r="G50" s="216">
        <v>1.53</v>
      </c>
      <c r="H50" s="181">
        <f t="shared" ref="H50:H58" si="12">ROUND(G50*$C50,0)</f>
        <v>37970</v>
      </c>
      <c r="I50" s="99"/>
      <c r="L50" s="182"/>
      <c r="T50" s="181"/>
    </row>
    <row r="51" spans="1:20">
      <c r="A51" s="291" t="s">
        <v>518</v>
      </c>
      <c r="B51" s="99"/>
      <c r="C51" s="179">
        <v>13647</v>
      </c>
      <c r="D51" s="216">
        <f>+'Tariff Summary Lights'!F20</f>
        <v>2.3199999999999998</v>
      </c>
      <c r="F51" s="181">
        <f t="shared" si="11"/>
        <v>31661</v>
      </c>
      <c r="G51" s="216">
        <v>2.5499999999999998</v>
      </c>
      <c r="H51" s="181">
        <f t="shared" si="12"/>
        <v>34800</v>
      </c>
      <c r="I51" s="99"/>
      <c r="L51" s="182"/>
      <c r="T51" s="181"/>
    </row>
    <row r="52" spans="1:20">
      <c r="A52" s="291" t="s">
        <v>519</v>
      </c>
      <c r="B52" s="99"/>
      <c r="C52" s="179">
        <v>7663</v>
      </c>
      <c r="D52" s="216">
        <f>+'Tariff Summary Lights'!F21</f>
        <v>3.24</v>
      </c>
      <c r="F52" s="181">
        <f t="shared" si="11"/>
        <v>24828</v>
      </c>
      <c r="G52" s="216">
        <v>3.57</v>
      </c>
      <c r="H52" s="181">
        <f t="shared" si="12"/>
        <v>27357</v>
      </c>
      <c r="I52" s="99"/>
      <c r="L52" s="182"/>
      <c r="T52" s="181"/>
    </row>
    <row r="53" spans="1:20">
      <c r="A53" s="291" t="s">
        <v>525</v>
      </c>
      <c r="B53" s="99"/>
      <c r="C53" s="179">
        <v>3502</v>
      </c>
      <c r="D53" s="216">
        <f>+'Tariff Summary Lights'!F22</f>
        <v>4.17</v>
      </c>
      <c r="F53" s="181">
        <f t="shared" si="11"/>
        <v>14603</v>
      </c>
      <c r="G53" s="216">
        <v>4.59</v>
      </c>
      <c r="H53" s="181">
        <f t="shared" si="12"/>
        <v>16074</v>
      </c>
      <c r="I53" s="99"/>
      <c r="L53" s="182"/>
      <c r="T53" s="181"/>
    </row>
    <row r="54" spans="1:20">
      <c r="A54" s="291" t="s">
        <v>524</v>
      </c>
      <c r="B54" s="99"/>
      <c r="C54" s="179">
        <v>606</v>
      </c>
      <c r="D54" s="216">
        <f>+'Tariff Summary Lights'!F23</f>
        <v>5.09</v>
      </c>
      <c r="F54" s="181">
        <f t="shared" si="11"/>
        <v>3085</v>
      </c>
      <c r="G54" s="216">
        <v>5.6</v>
      </c>
      <c r="H54" s="181">
        <f t="shared" si="12"/>
        <v>3394</v>
      </c>
      <c r="I54" s="99"/>
      <c r="L54" s="182"/>
      <c r="T54" s="181"/>
    </row>
    <row r="55" spans="1:20">
      <c r="A55" s="291" t="s">
        <v>523</v>
      </c>
      <c r="B55" s="99"/>
      <c r="C55" s="179">
        <v>2271</v>
      </c>
      <c r="D55" s="216">
        <f>+'Tariff Summary Lights'!F24</f>
        <v>6.02</v>
      </c>
      <c r="F55" s="181">
        <f t="shared" si="11"/>
        <v>13671</v>
      </c>
      <c r="G55" s="216">
        <v>6.62</v>
      </c>
      <c r="H55" s="181">
        <f t="shared" si="12"/>
        <v>15034</v>
      </c>
      <c r="I55" s="99"/>
      <c r="L55" s="182"/>
      <c r="T55" s="181"/>
    </row>
    <row r="56" spans="1:20">
      <c r="A56" s="291" t="s">
        <v>522</v>
      </c>
      <c r="B56" s="99"/>
      <c r="C56" s="179">
        <v>0</v>
      </c>
      <c r="D56" s="216">
        <f>+'Tariff Summary Lights'!F25</f>
        <v>6.95</v>
      </c>
      <c r="F56" s="181">
        <f t="shared" si="11"/>
        <v>0</v>
      </c>
      <c r="G56" s="216">
        <v>7.64</v>
      </c>
      <c r="H56" s="181">
        <f t="shared" si="12"/>
        <v>0</v>
      </c>
      <c r="I56" s="99"/>
      <c r="L56" s="182"/>
      <c r="T56" s="181"/>
    </row>
    <row r="57" spans="1:20">
      <c r="A57" s="291" t="s">
        <v>521</v>
      </c>
      <c r="B57" s="99"/>
      <c r="C57" s="179">
        <v>120</v>
      </c>
      <c r="D57" s="216">
        <f>+'Tariff Summary Lights'!F26</f>
        <v>7.87</v>
      </c>
      <c r="F57" s="181">
        <f t="shared" si="11"/>
        <v>944</v>
      </c>
      <c r="G57" s="216">
        <v>8.66</v>
      </c>
      <c r="H57" s="181">
        <f t="shared" si="12"/>
        <v>1039</v>
      </c>
      <c r="I57" s="99"/>
      <c r="L57" s="182"/>
      <c r="T57" s="181"/>
    </row>
    <row r="58" spans="1:20">
      <c r="A58" s="291" t="s">
        <v>520</v>
      </c>
      <c r="B58" s="99"/>
      <c r="C58" s="179">
        <v>911</v>
      </c>
      <c r="D58" s="216">
        <f>+'Tariff Summary Lights'!F27</f>
        <v>8.8000000000000007</v>
      </c>
      <c r="F58" s="181">
        <f t="shared" si="11"/>
        <v>8017</v>
      </c>
      <c r="G58" s="216">
        <v>9.68</v>
      </c>
      <c r="H58" s="181">
        <f t="shared" si="12"/>
        <v>8818</v>
      </c>
      <c r="I58" s="99"/>
      <c r="L58" s="182"/>
      <c r="T58" s="181"/>
    </row>
    <row r="59" spans="1:20">
      <c r="A59" s="99"/>
      <c r="B59" s="99"/>
      <c r="C59" s="185"/>
      <c r="D59" s="226"/>
      <c r="E59" s="99"/>
      <c r="F59" s="181"/>
      <c r="G59" s="226"/>
      <c r="H59" s="181"/>
      <c r="I59" s="181"/>
      <c r="T59" s="181"/>
    </row>
    <row r="60" spans="1:20">
      <c r="A60" s="291" t="s">
        <v>352</v>
      </c>
      <c r="C60" s="181">
        <v>0</v>
      </c>
      <c r="D60" s="227">
        <f>+'Tariff Summary Lights'!F16</f>
        <v>1.328E-2</v>
      </c>
      <c r="E60" s="180"/>
      <c r="F60" s="181">
        <f t="shared" ref="F60:F61" si="13">IF(D60="n/a",0,ROUND(C60*D60,0))</f>
        <v>0</v>
      </c>
      <c r="G60" s="227">
        <v>1.4789999999999999E-2</v>
      </c>
      <c r="H60" s="181">
        <f t="shared" ref="H60:H61" si="14">ROUND(G60*$C60,0)</f>
        <v>0</v>
      </c>
      <c r="I60" s="181"/>
      <c r="T60" s="181"/>
    </row>
    <row r="61" spans="1:20">
      <c r="A61" s="291" t="s">
        <v>353</v>
      </c>
      <c r="B61" s="99"/>
      <c r="C61" s="181">
        <v>248459418</v>
      </c>
      <c r="D61" s="227">
        <f>+'Tariff Summary Lights'!F17</f>
        <v>7.3999999999999999E-4</v>
      </c>
      <c r="E61" s="180"/>
      <c r="F61" s="181">
        <f t="shared" si="13"/>
        <v>183860</v>
      </c>
      <c r="G61" s="227">
        <v>1.3600000000000001E-3</v>
      </c>
      <c r="H61" s="181">
        <f t="shared" si="14"/>
        <v>337905</v>
      </c>
      <c r="I61" s="181"/>
      <c r="T61" s="181"/>
    </row>
    <row r="62" spans="1:20">
      <c r="A62" s="291"/>
      <c r="B62" s="99"/>
      <c r="C62" s="181"/>
      <c r="D62" s="184"/>
      <c r="E62" s="180"/>
      <c r="F62" s="181"/>
      <c r="G62" s="184"/>
      <c r="H62" s="181"/>
      <c r="I62" s="181"/>
    </row>
    <row r="63" spans="1:20">
      <c r="A63" s="218" t="s">
        <v>34</v>
      </c>
      <c r="C63" s="228">
        <f>SUM(C50:C58)</f>
        <v>53537</v>
      </c>
      <c r="D63" s="176"/>
      <c r="F63" s="229">
        <f>SUM(F50:F61)</f>
        <v>315165</v>
      </c>
      <c r="G63" s="176"/>
      <c r="H63" s="229">
        <f>SUM(H50:H61)</f>
        <v>482391</v>
      </c>
      <c r="I63" s="181"/>
      <c r="T63" s="229"/>
    </row>
    <row r="64" spans="1:20">
      <c r="A64" s="218"/>
      <c r="C64" s="185"/>
      <c r="D64" s="176"/>
      <c r="F64" s="181"/>
      <c r="G64" s="176"/>
      <c r="H64" s="181"/>
      <c r="I64" s="181"/>
    </row>
    <row r="65" spans="1:20">
      <c r="A65" s="230" t="s">
        <v>139</v>
      </c>
      <c r="B65" s="99"/>
      <c r="C65" s="185">
        <v>6967</v>
      </c>
      <c r="E65" s="180"/>
      <c r="F65" s="181"/>
      <c r="H65" s="181"/>
      <c r="I65" s="181"/>
    </row>
    <row r="66" spans="1:20">
      <c r="A66" s="230"/>
      <c r="B66" s="99"/>
      <c r="C66" s="97"/>
      <c r="E66" s="180"/>
      <c r="F66" s="181"/>
      <c r="H66" s="181"/>
      <c r="I66" s="181"/>
    </row>
    <row r="67" spans="1:20">
      <c r="A67" s="177" t="s">
        <v>349</v>
      </c>
      <c r="C67" s="185">
        <v>1504065.4550000003</v>
      </c>
      <c r="E67" s="180"/>
      <c r="F67" s="181"/>
      <c r="H67" s="181"/>
      <c r="I67" s="181"/>
      <c r="K67" s="182"/>
    </row>
    <row r="68" spans="1:20">
      <c r="A68" s="177" t="s">
        <v>350</v>
      </c>
      <c r="C68" s="185">
        <v>16688.032500000001</v>
      </c>
      <c r="D68" s="221">
        <f>ROUND(F68/C68,6)</f>
        <v>0.23519799999999999</v>
      </c>
      <c r="E68" s="183"/>
      <c r="F68" s="181">
        <f>$P$14</f>
        <v>3925</v>
      </c>
      <c r="G68" s="221">
        <f>ROUND(H68/C68,6)</f>
        <v>0.25742999999999999</v>
      </c>
      <c r="H68" s="181">
        <f>ROUND(+F68*(1+J68),0)</f>
        <v>4296</v>
      </c>
      <c r="I68" s="183"/>
      <c r="J68" s="98">
        <f>+$J$45</f>
        <v>9.457260029107821E-2</v>
      </c>
      <c r="K68" s="329" t="s">
        <v>351</v>
      </c>
      <c r="L68" s="329"/>
      <c r="M68" s="222"/>
      <c r="N68" s="222"/>
      <c r="O68" s="222"/>
      <c r="P68" s="222"/>
      <c r="Q68" s="222"/>
      <c r="R68" s="222"/>
      <c r="S68" s="222"/>
      <c r="T68" s="222"/>
    </row>
    <row r="69" spans="1:20" ht="16.5" thickBot="1">
      <c r="A69" s="223" t="s">
        <v>35</v>
      </c>
      <c r="B69" s="99"/>
      <c r="C69" s="231">
        <f>SUM(C67:C68)</f>
        <v>1520753.4875000003</v>
      </c>
      <c r="D69" s="100"/>
      <c r="F69" s="211">
        <f>SUM(F63:F68)</f>
        <v>319090</v>
      </c>
      <c r="G69" s="100"/>
      <c r="H69" s="211">
        <f>SUM(H63:H68)</f>
        <v>486687</v>
      </c>
    </row>
    <row r="70" spans="1:20" ht="16.5" thickTop="1">
      <c r="A70" s="99"/>
      <c r="B70" s="99"/>
      <c r="C70" s="99"/>
      <c r="D70" s="232" t="s">
        <v>0</v>
      </c>
      <c r="E70" s="99"/>
      <c r="F70" s="99"/>
      <c r="G70" s="232" t="s">
        <v>0</v>
      </c>
      <c r="H70" s="181" t="s">
        <v>0</v>
      </c>
      <c r="I70" s="181"/>
    </row>
    <row r="71" spans="1:20">
      <c r="A71" s="349" t="s">
        <v>156</v>
      </c>
      <c r="B71" s="349"/>
      <c r="C71" s="349"/>
      <c r="D71" s="349"/>
      <c r="E71" s="349"/>
      <c r="F71" s="349"/>
      <c r="G71" s="349"/>
      <c r="H71" s="349"/>
      <c r="I71" s="99"/>
    </row>
    <row r="72" spans="1:20">
      <c r="A72" s="230" t="s">
        <v>354</v>
      </c>
      <c r="B72" s="99"/>
      <c r="C72" s="99"/>
      <c r="D72" s="99"/>
      <c r="E72" s="99"/>
      <c r="F72" s="99"/>
      <c r="G72" s="99"/>
      <c r="H72" s="99"/>
      <c r="I72" s="99"/>
    </row>
    <row r="73" spans="1:20">
      <c r="A73" s="189" t="s">
        <v>355</v>
      </c>
      <c r="B73" s="99"/>
      <c r="C73" s="179">
        <v>0</v>
      </c>
      <c r="D73" s="216">
        <f>+'Tariff Summary Lights'!F32</f>
        <v>1.54</v>
      </c>
      <c r="E73" s="99"/>
      <c r="F73" s="181">
        <f t="shared" ref="F73:F80" si="15">IF(D73="n/a",0,ROUND(C73*D73,0))</f>
        <v>0</v>
      </c>
      <c r="G73" s="216">
        <v>1.7</v>
      </c>
      <c r="H73" s="181">
        <f t="shared" ref="H73:H80" si="16">ROUND(G73*$C73,0)</f>
        <v>0</v>
      </c>
      <c r="I73" s="99"/>
      <c r="J73" s="216"/>
      <c r="K73" s="182"/>
      <c r="T73" s="181"/>
    </row>
    <row r="74" spans="1:20">
      <c r="A74" s="118" t="s">
        <v>356</v>
      </c>
      <c r="B74" s="99"/>
      <c r="C74" s="179">
        <v>8520</v>
      </c>
      <c r="D74" s="216">
        <f>+'Tariff Summary Lights'!F33</f>
        <v>2.16</v>
      </c>
      <c r="E74" s="99"/>
      <c r="F74" s="181">
        <f t="shared" si="15"/>
        <v>18403</v>
      </c>
      <c r="G74" s="216">
        <v>2.38</v>
      </c>
      <c r="H74" s="181">
        <f t="shared" si="16"/>
        <v>20278</v>
      </c>
      <c r="I74" s="99"/>
      <c r="J74" s="216"/>
      <c r="K74" s="182"/>
      <c r="T74" s="181"/>
    </row>
    <row r="75" spans="1:20">
      <c r="A75" s="118" t="s">
        <v>357</v>
      </c>
      <c r="B75" s="99"/>
      <c r="C75" s="179">
        <v>123704</v>
      </c>
      <c r="D75" s="216">
        <f>+'Tariff Summary Lights'!F34</f>
        <v>3.09</v>
      </c>
      <c r="E75" s="99"/>
      <c r="F75" s="181">
        <f t="shared" si="15"/>
        <v>382245</v>
      </c>
      <c r="G75" s="216">
        <v>3.4</v>
      </c>
      <c r="H75" s="181">
        <f t="shared" si="16"/>
        <v>420594</v>
      </c>
      <c r="I75" s="99"/>
      <c r="J75" s="216"/>
      <c r="K75" s="182"/>
      <c r="T75" s="181"/>
    </row>
    <row r="76" spans="1:20">
      <c r="A76" s="118" t="s">
        <v>358</v>
      </c>
      <c r="B76" s="99"/>
      <c r="C76" s="179">
        <v>55078</v>
      </c>
      <c r="D76" s="216">
        <f>+'Tariff Summary Lights'!F35</f>
        <v>4.63</v>
      </c>
      <c r="E76" s="99"/>
      <c r="F76" s="181">
        <f t="shared" si="15"/>
        <v>255011</v>
      </c>
      <c r="G76" s="216">
        <v>5.0999999999999996</v>
      </c>
      <c r="H76" s="181">
        <f t="shared" si="16"/>
        <v>280898</v>
      </c>
      <c r="I76" s="99"/>
      <c r="J76" s="216"/>
      <c r="K76" s="182"/>
      <c r="T76" s="181"/>
    </row>
    <row r="77" spans="1:20">
      <c r="A77" s="118" t="s">
        <v>359</v>
      </c>
      <c r="B77" s="99"/>
      <c r="C77" s="179">
        <v>11934</v>
      </c>
      <c r="D77" s="216">
        <f>+'Tariff Summary Lights'!F36</f>
        <v>6.17</v>
      </c>
      <c r="E77" s="99"/>
      <c r="F77" s="181">
        <f t="shared" si="15"/>
        <v>73633</v>
      </c>
      <c r="G77" s="216">
        <v>6.79</v>
      </c>
      <c r="H77" s="181">
        <f t="shared" si="16"/>
        <v>81032</v>
      </c>
      <c r="I77" s="99"/>
      <c r="J77" s="216"/>
      <c r="K77" s="182"/>
      <c r="T77" s="181"/>
    </row>
    <row r="78" spans="1:20">
      <c r="A78" s="118" t="s">
        <v>360</v>
      </c>
      <c r="B78" s="99"/>
      <c r="C78" s="179">
        <v>17568</v>
      </c>
      <c r="D78" s="216">
        <f>+'Tariff Summary Lights'!F37</f>
        <v>7.72</v>
      </c>
      <c r="E78" s="99"/>
      <c r="F78" s="181">
        <f t="shared" si="15"/>
        <v>135625</v>
      </c>
      <c r="G78" s="216">
        <v>8.49</v>
      </c>
      <c r="H78" s="181">
        <f t="shared" si="16"/>
        <v>149152</v>
      </c>
      <c r="I78" s="99"/>
      <c r="J78" s="216"/>
      <c r="K78" s="182"/>
      <c r="T78" s="181"/>
    </row>
    <row r="79" spans="1:20">
      <c r="A79" s="118" t="s">
        <v>361</v>
      </c>
      <c r="B79" s="99"/>
      <c r="C79" s="179">
        <v>1788</v>
      </c>
      <c r="D79" s="216">
        <f>+'Tariff Summary Lights'!F38</f>
        <v>9.57</v>
      </c>
      <c r="E79" s="99"/>
      <c r="F79" s="181">
        <f t="shared" si="15"/>
        <v>17111</v>
      </c>
      <c r="G79" s="216">
        <v>10.53</v>
      </c>
      <c r="H79" s="181">
        <f t="shared" si="16"/>
        <v>18828</v>
      </c>
      <c r="I79" s="99"/>
      <c r="J79" s="216"/>
      <c r="K79" s="182"/>
      <c r="T79" s="181"/>
    </row>
    <row r="80" spans="1:20">
      <c r="A80" s="118" t="s">
        <v>362</v>
      </c>
      <c r="B80" s="99"/>
      <c r="C80" s="179">
        <v>7293</v>
      </c>
      <c r="D80" s="216">
        <f>+'Tariff Summary Lights'!F39</f>
        <v>12.35</v>
      </c>
      <c r="E80" s="99"/>
      <c r="F80" s="181">
        <f t="shared" si="15"/>
        <v>90069</v>
      </c>
      <c r="G80" s="216">
        <v>13.59</v>
      </c>
      <c r="H80" s="181">
        <f t="shared" si="16"/>
        <v>99112</v>
      </c>
      <c r="I80" s="99"/>
      <c r="J80" s="216"/>
      <c r="K80" s="182"/>
      <c r="T80" s="181"/>
    </row>
    <row r="81" spans="1:20">
      <c r="A81" s="118"/>
      <c r="B81" s="99"/>
      <c r="C81" s="179"/>
      <c r="D81" s="216"/>
      <c r="E81" s="99"/>
      <c r="F81" s="181"/>
      <c r="G81" s="216"/>
      <c r="H81" s="99"/>
      <c r="I81" s="99"/>
      <c r="T81" s="181"/>
    </row>
    <row r="82" spans="1:20">
      <c r="A82" s="118" t="s">
        <v>363</v>
      </c>
      <c r="B82" s="99"/>
      <c r="C82" s="179">
        <v>816</v>
      </c>
      <c r="D82" s="216">
        <f>+'Tariff Summary Lights'!F41</f>
        <v>2.16</v>
      </c>
      <c r="E82" s="99"/>
      <c r="F82" s="181">
        <f t="shared" ref="F82:F88" si="17">IF(D82="n/a",0,ROUND(C82*D82,0))</f>
        <v>1763</v>
      </c>
      <c r="G82" s="216">
        <v>2.38</v>
      </c>
      <c r="H82" s="181">
        <f t="shared" ref="H82:H88" si="18">ROUND(G82*$C82,0)</f>
        <v>1942</v>
      </c>
      <c r="I82" s="99"/>
      <c r="J82" s="216"/>
      <c r="K82" s="182"/>
      <c r="T82" s="181"/>
    </row>
    <row r="83" spans="1:20">
      <c r="A83" s="118" t="s">
        <v>364</v>
      </c>
      <c r="B83" s="99"/>
      <c r="C83" s="179">
        <v>49</v>
      </c>
      <c r="D83" s="216">
        <f>+'Tariff Summary Lights'!F42</f>
        <v>3.09</v>
      </c>
      <c r="E83" s="99"/>
      <c r="F83" s="181">
        <f t="shared" si="17"/>
        <v>151</v>
      </c>
      <c r="G83" s="216">
        <v>3.4</v>
      </c>
      <c r="H83" s="181">
        <f t="shared" si="18"/>
        <v>167</v>
      </c>
      <c r="I83" s="99"/>
      <c r="J83" s="216"/>
      <c r="K83" s="182"/>
      <c r="T83" s="181"/>
    </row>
    <row r="84" spans="1:20">
      <c r="A84" s="118" t="s">
        <v>365</v>
      </c>
      <c r="B84" s="99"/>
      <c r="C84" s="179">
        <v>2460</v>
      </c>
      <c r="D84" s="216">
        <f>+'Tariff Summary Lights'!F43</f>
        <v>4.63</v>
      </c>
      <c r="E84" s="99"/>
      <c r="F84" s="181">
        <f t="shared" si="17"/>
        <v>11390</v>
      </c>
      <c r="G84" s="216">
        <v>5.0999999999999996</v>
      </c>
      <c r="H84" s="181">
        <f t="shared" si="18"/>
        <v>12546</v>
      </c>
      <c r="I84" s="99"/>
      <c r="J84" s="216"/>
      <c r="K84" s="182"/>
      <c r="T84" s="181"/>
    </row>
    <row r="85" spans="1:20">
      <c r="A85" s="189" t="s">
        <v>366</v>
      </c>
      <c r="B85" s="99"/>
      <c r="C85" s="179">
        <v>2664</v>
      </c>
      <c r="D85" s="216">
        <f>+'Tariff Summary Lights'!F44</f>
        <v>5.4</v>
      </c>
      <c r="E85" s="99"/>
      <c r="F85" s="181">
        <f t="shared" si="17"/>
        <v>14386</v>
      </c>
      <c r="G85" s="216">
        <v>5.94</v>
      </c>
      <c r="H85" s="181">
        <f t="shared" si="18"/>
        <v>15824</v>
      </c>
      <c r="I85" s="99"/>
      <c r="J85" s="216"/>
      <c r="K85" s="182"/>
      <c r="T85" s="181"/>
    </row>
    <row r="86" spans="1:20">
      <c r="A86" s="118" t="s">
        <v>367</v>
      </c>
      <c r="B86" s="99"/>
      <c r="C86" s="179">
        <v>732</v>
      </c>
      <c r="D86" s="216">
        <f>+'Tariff Summary Lights'!F45</f>
        <v>7.72</v>
      </c>
      <c r="E86" s="99"/>
      <c r="F86" s="181">
        <f t="shared" si="17"/>
        <v>5651</v>
      </c>
      <c r="G86" s="216">
        <v>8.49</v>
      </c>
      <c r="H86" s="181">
        <f t="shared" si="18"/>
        <v>6215</v>
      </c>
      <c r="I86" s="99"/>
      <c r="J86" s="216"/>
      <c r="K86" s="182"/>
      <c r="T86" s="181"/>
    </row>
    <row r="87" spans="1:20">
      <c r="A87" s="118" t="s">
        <v>368</v>
      </c>
      <c r="B87" s="99"/>
      <c r="C87" s="179">
        <v>684</v>
      </c>
      <c r="D87" s="216">
        <f>+'Tariff Summary Lights'!F46</f>
        <v>12.35</v>
      </c>
      <c r="E87" s="99"/>
      <c r="F87" s="181">
        <f t="shared" si="17"/>
        <v>8447</v>
      </c>
      <c r="G87" s="216">
        <v>13.59</v>
      </c>
      <c r="H87" s="181">
        <f t="shared" si="18"/>
        <v>9296</v>
      </c>
      <c r="I87" s="99"/>
      <c r="J87" s="216"/>
      <c r="K87" s="182"/>
      <c r="T87" s="181"/>
    </row>
    <row r="88" spans="1:20">
      <c r="A88" s="189" t="s">
        <v>369</v>
      </c>
      <c r="B88" s="99"/>
      <c r="C88" s="179">
        <v>216</v>
      </c>
      <c r="D88" s="216">
        <f>+'Tariff Summary Lights'!F47</f>
        <v>30.87</v>
      </c>
      <c r="E88" s="99"/>
      <c r="F88" s="181">
        <f t="shared" si="17"/>
        <v>6668</v>
      </c>
      <c r="G88" s="216">
        <v>33.97</v>
      </c>
      <c r="H88" s="181">
        <f t="shared" si="18"/>
        <v>7338</v>
      </c>
      <c r="I88" s="99"/>
      <c r="J88" s="216"/>
      <c r="K88" s="182"/>
      <c r="T88" s="181"/>
    </row>
    <row r="89" spans="1:20">
      <c r="A89" s="218"/>
      <c r="C89" s="20"/>
      <c r="D89" s="176"/>
      <c r="F89" s="54"/>
      <c r="G89" s="176"/>
      <c r="H89" s="54"/>
      <c r="I89" s="99"/>
      <c r="T89" s="181"/>
    </row>
    <row r="90" spans="1:20">
      <c r="A90" s="291" t="s">
        <v>352</v>
      </c>
      <c r="C90" s="181">
        <v>0</v>
      </c>
      <c r="D90" s="227">
        <f>+'Tariff Summary Lights'!F29</f>
        <v>1.4930000000000001E-2</v>
      </c>
      <c r="E90" s="180"/>
      <c r="F90" s="181">
        <f t="shared" ref="F90:F91" si="19">IF(D90="n/a",0,ROUND(C90*D90,0))</f>
        <v>0</v>
      </c>
      <c r="G90" s="227">
        <v>1.4789999999999999E-2</v>
      </c>
      <c r="H90" s="181">
        <f t="shared" ref="H90:H91" si="20">ROUND(G90*$C90,0)</f>
        <v>0</v>
      </c>
      <c r="I90" s="181"/>
      <c r="J90" s="216"/>
      <c r="K90" s="182"/>
      <c r="T90" s="181"/>
    </row>
    <row r="91" spans="1:20">
      <c r="A91" s="291" t="s">
        <v>353</v>
      </c>
      <c r="B91" s="99"/>
      <c r="C91" s="181">
        <v>643437637</v>
      </c>
      <c r="D91" s="227">
        <f>+'Tariff Summary Lights'!F30</f>
        <v>2.3900000000000002E-3</v>
      </c>
      <c r="E91" s="180"/>
      <c r="F91" s="181">
        <f t="shared" si="19"/>
        <v>1537816</v>
      </c>
      <c r="G91" s="227">
        <v>1.3600000000000001E-3</v>
      </c>
      <c r="H91" s="181">
        <f t="shared" si="20"/>
        <v>875075</v>
      </c>
      <c r="I91" s="181"/>
      <c r="J91" s="216"/>
      <c r="K91" s="182"/>
      <c r="T91" s="181"/>
    </row>
    <row r="92" spans="1:20">
      <c r="A92" s="230"/>
      <c r="B92" s="99"/>
      <c r="C92" s="97"/>
      <c r="E92" s="180"/>
      <c r="F92" s="181"/>
      <c r="H92" s="181"/>
      <c r="I92" s="181"/>
    </row>
    <row r="93" spans="1:20">
      <c r="A93" s="218" t="s">
        <v>34</v>
      </c>
      <c r="C93" s="179">
        <f>SUM(C73:C88)</f>
        <v>233506</v>
      </c>
      <c r="D93" s="176"/>
      <c r="F93" s="220">
        <f>SUM(F73:F91)</f>
        <v>2558369</v>
      </c>
      <c r="G93" s="176"/>
      <c r="H93" s="220">
        <f>SUM(H73:H91)</f>
        <v>1998297</v>
      </c>
      <c r="I93" s="99"/>
      <c r="T93" s="220"/>
    </row>
    <row r="94" spans="1:20">
      <c r="A94" s="218"/>
      <c r="C94" s="207"/>
      <c r="D94" s="176"/>
      <c r="F94" s="54"/>
      <c r="G94" s="176"/>
      <c r="H94" s="54"/>
      <c r="I94" s="99"/>
    </row>
    <row r="95" spans="1:20">
      <c r="A95" s="230" t="s">
        <v>139</v>
      </c>
      <c r="B95" s="99"/>
      <c r="C95" s="185">
        <v>29114</v>
      </c>
      <c r="E95" s="180"/>
      <c r="F95" s="181"/>
      <c r="H95" s="181"/>
      <c r="I95" s="181"/>
    </row>
    <row r="96" spans="1:20">
      <c r="A96" s="230"/>
      <c r="B96" s="99"/>
      <c r="C96" s="209"/>
      <c r="E96" s="180"/>
      <c r="F96" s="181"/>
      <c r="H96" s="181"/>
      <c r="I96" s="181"/>
      <c r="K96" s="182"/>
    </row>
    <row r="97" spans="1:20">
      <c r="A97" s="177" t="s">
        <v>349</v>
      </c>
      <c r="C97" s="185">
        <v>13269924.935000002</v>
      </c>
      <c r="E97" s="180"/>
      <c r="F97" s="181"/>
      <c r="H97" s="181"/>
      <c r="I97" s="100"/>
    </row>
    <row r="98" spans="1:20">
      <c r="A98" s="177" t="s">
        <v>350</v>
      </c>
      <c r="C98" s="185">
        <v>-8473.76800000004</v>
      </c>
      <c r="D98" s="221">
        <f>ROUND(F98/C98,6)</f>
        <v>0.23519599999999999</v>
      </c>
      <c r="E98" s="183"/>
      <c r="F98" s="181">
        <f>$P$15</f>
        <v>-1993</v>
      </c>
      <c r="G98" s="221">
        <f>ROUND(H98/C98,6)</f>
        <v>0.25738299999999997</v>
      </c>
      <c r="H98" s="181">
        <f>ROUND(+F98*(1+J98),0)</f>
        <v>-2181</v>
      </c>
      <c r="I98" s="183"/>
      <c r="J98" s="98">
        <f>+$J$45</f>
        <v>9.457260029107821E-2</v>
      </c>
      <c r="K98" s="329" t="s">
        <v>351</v>
      </c>
      <c r="L98" s="329"/>
      <c r="M98" s="222"/>
      <c r="N98" s="222"/>
      <c r="O98" s="222"/>
      <c r="P98" s="222"/>
      <c r="Q98" s="222"/>
      <c r="R98" s="222"/>
      <c r="S98" s="222"/>
      <c r="T98" s="222"/>
    </row>
    <row r="99" spans="1:20" ht="16.5" thickBot="1">
      <c r="A99" s="223" t="s">
        <v>35</v>
      </c>
      <c r="B99" s="99"/>
      <c r="C99" s="224">
        <f>SUM(C97:C98)</f>
        <v>13261451.167000003</v>
      </c>
      <c r="D99" s="100"/>
      <c r="F99" s="225">
        <f>SUM(F93:F98)</f>
        <v>2556376</v>
      </c>
      <c r="G99" s="100"/>
      <c r="H99" s="225">
        <f>SUM(H93:H98)</f>
        <v>1996116</v>
      </c>
    </row>
    <row r="100" spans="1:20" ht="16.5" thickTop="1">
      <c r="A100" s="99"/>
      <c r="B100" s="99"/>
      <c r="C100" s="99"/>
      <c r="D100" s="232"/>
      <c r="E100" s="99"/>
      <c r="F100" s="99"/>
      <c r="G100" s="232"/>
      <c r="H100" s="181"/>
      <c r="I100" s="181"/>
    </row>
    <row r="101" spans="1:20">
      <c r="A101" s="99"/>
      <c r="B101" s="99"/>
      <c r="C101" s="99"/>
      <c r="D101" s="232"/>
      <c r="E101" s="99"/>
      <c r="F101" s="99"/>
      <c r="G101" s="232"/>
      <c r="H101" s="181"/>
      <c r="I101" s="181"/>
    </row>
    <row r="102" spans="1:20">
      <c r="A102" s="349" t="s">
        <v>46</v>
      </c>
      <c r="B102" s="349"/>
      <c r="C102" s="349"/>
      <c r="D102" s="349"/>
      <c r="E102" s="349"/>
      <c r="F102" s="349"/>
      <c r="G102" s="349"/>
      <c r="H102" s="349"/>
      <c r="I102" s="99"/>
    </row>
    <row r="103" spans="1:20">
      <c r="A103" s="230" t="s">
        <v>370</v>
      </c>
      <c r="B103" s="99"/>
      <c r="C103" s="99"/>
      <c r="D103" s="99"/>
      <c r="E103" s="99"/>
      <c r="F103" s="99"/>
      <c r="G103" s="99"/>
      <c r="H103" s="99"/>
      <c r="I103" s="99"/>
    </row>
    <row r="104" spans="1:20">
      <c r="A104" s="118" t="s">
        <v>371</v>
      </c>
      <c r="B104" s="99"/>
      <c r="C104" s="179">
        <v>0</v>
      </c>
      <c r="D104" s="216">
        <f>+'Tariff Summary Lights'!F49</f>
        <v>10.72</v>
      </c>
      <c r="F104" s="181">
        <f t="shared" ref="F104:F112" si="21">IF(D104="n/a",0,ROUND(C104*D104,0))</f>
        <v>0</v>
      </c>
      <c r="G104" s="216">
        <v>13.56</v>
      </c>
      <c r="H104" s="181">
        <f t="shared" ref="H104:H112" si="22">ROUND(G104*$C104,0)</f>
        <v>0</v>
      </c>
      <c r="I104" s="99"/>
      <c r="L104" s="182"/>
      <c r="T104" s="181"/>
    </row>
    <row r="105" spans="1:20">
      <c r="A105" s="118" t="s">
        <v>372</v>
      </c>
      <c r="B105" s="99"/>
      <c r="C105" s="179">
        <v>54637</v>
      </c>
      <c r="D105" s="216">
        <f>+'Tariff Summary Lights'!F50</f>
        <v>11.5</v>
      </c>
      <c r="E105" s="99"/>
      <c r="F105" s="181">
        <f t="shared" si="21"/>
        <v>628326</v>
      </c>
      <c r="G105" s="216">
        <v>14.24</v>
      </c>
      <c r="H105" s="181">
        <f t="shared" si="22"/>
        <v>778031</v>
      </c>
      <c r="I105" s="99"/>
      <c r="L105" s="182"/>
      <c r="T105" s="181"/>
    </row>
    <row r="106" spans="1:20">
      <c r="A106" s="118" t="s">
        <v>373</v>
      </c>
      <c r="B106" s="99"/>
      <c r="C106" s="179">
        <v>382985</v>
      </c>
      <c r="D106" s="216">
        <f>+'Tariff Summary Lights'!F51</f>
        <v>12.68</v>
      </c>
      <c r="E106" s="99"/>
      <c r="F106" s="181">
        <f t="shared" si="21"/>
        <v>4856250</v>
      </c>
      <c r="G106" s="216">
        <v>14.68</v>
      </c>
      <c r="H106" s="181">
        <f t="shared" si="22"/>
        <v>5622220</v>
      </c>
      <c r="I106" s="99"/>
      <c r="L106" s="182"/>
      <c r="T106" s="181"/>
    </row>
    <row r="107" spans="1:20">
      <c r="A107" s="118" t="s">
        <v>374</v>
      </c>
      <c r="B107" s="99"/>
      <c r="C107" s="179">
        <v>45980</v>
      </c>
      <c r="D107" s="216">
        <f>+'Tariff Summary Lights'!F52</f>
        <v>14.64</v>
      </c>
      <c r="E107" s="99"/>
      <c r="F107" s="181">
        <f t="shared" si="21"/>
        <v>673147</v>
      </c>
      <c r="G107" s="216">
        <v>16.39</v>
      </c>
      <c r="H107" s="181">
        <f t="shared" si="22"/>
        <v>753612</v>
      </c>
      <c r="I107" s="99"/>
      <c r="L107" s="182"/>
      <c r="T107" s="181"/>
    </row>
    <row r="108" spans="1:20">
      <c r="A108" s="118" t="s">
        <v>375</v>
      </c>
      <c r="B108" s="99"/>
      <c r="C108" s="179">
        <v>60631</v>
      </c>
      <c r="D108" s="216">
        <f>+'Tariff Summary Lights'!F53</f>
        <v>16.61</v>
      </c>
      <c r="E108" s="99"/>
      <c r="F108" s="181">
        <f t="shared" si="21"/>
        <v>1007081</v>
      </c>
      <c r="G108" s="216">
        <v>18.64</v>
      </c>
      <c r="H108" s="181">
        <f t="shared" si="22"/>
        <v>1130162</v>
      </c>
      <c r="I108" s="99"/>
      <c r="L108" s="182"/>
      <c r="T108" s="181"/>
    </row>
    <row r="109" spans="1:20">
      <c r="A109" s="118" t="s">
        <v>376</v>
      </c>
      <c r="B109" s="99"/>
      <c r="C109" s="179">
        <v>20854</v>
      </c>
      <c r="D109" s="216">
        <f>+'Tariff Summary Lights'!F54</f>
        <v>18.57</v>
      </c>
      <c r="E109" s="99"/>
      <c r="F109" s="181">
        <f t="shared" si="21"/>
        <v>387259</v>
      </c>
      <c r="G109" s="216">
        <v>20.51</v>
      </c>
      <c r="H109" s="181">
        <f t="shared" si="22"/>
        <v>427716</v>
      </c>
      <c r="I109" s="99"/>
      <c r="L109" s="182"/>
      <c r="T109" s="181"/>
    </row>
    <row r="110" spans="1:20">
      <c r="A110" s="118" t="s">
        <v>377</v>
      </c>
      <c r="B110" s="99"/>
      <c r="C110" s="179">
        <v>199</v>
      </c>
      <c r="D110" s="216">
        <f>+'Tariff Summary Lights'!F55</f>
        <v>20.93</v>
      </c>
      <c r="E110" s="99"/>
      <c r="F110" s="181">
        <f t="shared" si="21"/>
        <v>4165</v>
      </c>
      <c r="G110" s="216">
        <v>22.96</v>
      </c>
      <c r="H110" s="181">
        <f t="shared" si="22"/>
        <v>4569</v>
      </c>
      <c r="I110" s="99"/>
      <c r="L110" s="182"/>
      <c r="T110" s="181"/>
    </row>
    <row r="111" spans="1:20">
      <c r="A111" s="118" t="s">
        <v>378</v>
      </c>
      <c r="B111" s="99"/>
      <c r="C111" s="179">
        <v>12055</v>
      </c>
      <c r="D111" s="216">
        <f>+'Tariff Summary Lights'!F56</f>
        <v>24.46</v>
      </c>
      <c r="E111" s="99"/>
      <c r="F111" s="181">
        <f t="shared" si="21"/>
        <v>294865</v>
      </c>
      <c r="G111" s="216">
        <v>26.79</v>
      </c>
      <c r="H111" s="181">
        <f t="shared" si="22"/>
        <v>322953</v>
      </c>
      <c r="I111" s="99"/>
      <c r="L111" s="182"/>
      <c r="T111" s="181"/>
    </row>
    <row r="112" spans="1:20">
      <c r="A112" s="118" t="s">
        <v>379</v>
      </c>
      <c r="B112" s="99"/>
      <c r="C112" s="179">
        <v>0</v>
      </c>
      <c r="D112" s="216">
        <f>+'Tariff Summary Lights'!F57</f>
        <v>48.03</v>
      </c>
      <c r="E112" s="99"/>
      <c r="F112" s="181">
        <f t="shared" si="21"/>
        <v>0</v>
      </c>
      <c r="G112" s="216">
        <v>49.25</v>
      </c>
      <c r="H112" s="181">
        <f t="shared" si="22"/>
        <v>0</v>
      </c>
      <c r="I112" s="99"/>
      <c r="T112" s="181"/>
    </row>
    <row r="113" spans="1:20">
      <c r="A113" s="118"/>
      <c r="B113" s="99"/>
      <c r="C113" s="179"/>
      <c r="D113" s="216"/>
      <c r="E113" s="99"/>
      <c r="F113" s="99"/>
      <c r="G113" s="216"/>
      <c r="H113" s="99"/>
      <c r="I113" s="99"/>
      <c r="T113" s="181"/>
    </row>
    <row r="114" spans="1:20">
      <c r="A114" s="118" t="s">
        <v>380</v>
      </c>
      <c r="B114" s="99"/>
      <c r="C114" s="179">
        <v>0</v>
      </c>
      <c r="D114" s="216">
        <f>+'Tariff Summary Lights'!F59</f>
        <v>14.18</v>
      </c>
      <c r="E114" s="99"/>
      <c r="F114" s="181">
        <f t="shared" ref="F114:F118" si="23">IF(D114="n/a",0,ROUND(C114*D114,0))</f>
        <v>0</v>
      </c>
      <c r="G114" s="216">
        <v>14.71</v>
      </c>
      <c r="H114" s="181">
        <f t="shared" ref="H114:H118" si="24">ROUND(G114*$C114,0)</f>
        <v>0</v>
      </c>
      <c r="I114" s="99"/>
      <c r="T114" s="181"/>
    </row>
    <row r="115" spans="1:20">
      <c r="A115" s="118" t="s">
        <v>381</v>
      </c>
      <c r="B115" s="99"/>
      <c r="C115" s="179">
        <v>0</v>
      </c>
      <c r="D115" s="216">
        <f>+'Tariff Summary Lights'!F60</f>
        <v>15.44</v>
      </c>
      <c r="E115" s="99"/>
      <c r="F115" s="181">
        <f t="shared" si="23"/>
        <v>0</v>
      </c>
      <c r="G115" s="216">
        <v>15.88</v>
      </c>
      <c r="H115" s="181">
        <f t="shared" si="24"/>
        <v>0</v>
      </c>
      <c r="I115" s="99"/>
      <c r="T115" s="181"/>
    </row>
    <row r="116" spans="1:20">
      <c r="A116" s="118" t="s">
        <v>382</v>
      </c>
      <c r="B116" s="99"/>
      <c r="C116" s="179">
        <v>0</v>
      </c>
      <c r="D116" s="216">
        <f>+'Tariff Summary Lights'!F61</f>
        <v>17.52</v>
      </c>
      <c r="E116" s="99"/>
      <c r="F116" s="181">
        <f t="shared" si="23"/>
        <v>0</v>
      </c>
      <c r="G116" s="216">
        <v>17.84</v>
      </c>
      <c r="H116" s="181">
        <f t="shared" si="24"/>
        <v>0</v>
      </c>
      <c r="I116" s="99"/>
      <c r="T116" s="181"/>
    </row>
    <row r="117" spans="1:20">
      <c r="A117" s="118" t="s">
        <v>383</v>
      </c>
      <c r="B117" s="99"/>
      <c r="C117" s="179">
        <v>0</v>
      </c>
      <c r="D117" s="216">
        <f>+'Tariff Summary Lights'!F62</f>
        <v>21.69</v>
      </c>
      <c r="E117" s="99"/>
      <c r="F117" s="181">
        <f t="shared" si="23"/>
        <v>0</v>
      </c>
      <c r="G117" s="216">
        <v>22.07</v>
      </c>
      <c r="H117" s="181">
        <f t="shared" si="24"/>
        <v>0</v>
      </c>
      <c r="I117" s="99"/>
      <c r="T117" s="181"/>
    </row>
    <row r="118" spans="1:20">
      <c r="A118" s="118" t="s">
        <v>384</v>
      </c>
      <c r="B118" s="99"/>
      <c r="C118" s="179">
        <v>0</v>
      </c>
      <c r="D118" s="216">
        <f>+'Tariff Summary Lights'!F63</f>
        <v>27.95</v>
      </c>
      <c r="E118" s="99"/>
      <c r="F118" s="181">
        <f t="shared" si="23"/>
        <v>0</v>
      </c>
      <c r="G118" s="216">
        <v>27.21</v>
      </c>
      <c r="H118" s="181">
        <f t="shared" si="24"/>
        <v>0</v>
      </c>
      <c r="I118" s="99"/>
      <c r="T118" s="181"/>
    </row>
    <row r="119" spans="1:20">
      <c r="A119" s="118"/>
      <c r="B119" s="99"/>
      <c r="C119" s="179"/>
      <c r="D119" s="216"/>
      <c r="E119" s="99"/>
      <c r="F119" s="99"/>
      <c r="G119" s="216"/>
      <c r="H119" s="99"/>
      <c r="I119" s="99"/>
      <c r="T119" s="181"/>
    </row>
    <row r="120" spans="1:20">
      <c r="A120" s="215" t="s">
        <v>517</v>
      </c>
      <c r="B120" s="99"/>
      <c r="C120" s="179">
        <v>211377</v>
      </c>
      <c r="D120" s="216">
        <f>+'Tariff Summary Lights'!F65</f>
        <v>9.9700000000000006</v>
      </c>
      <c r="E120" s="99"/>
      <c r="F120" s="181">
        <f t="shared" ref="F120:F128" si="25">IF(D120="n/a",0,ROUND(C120*D120,0))</f>
        <v>2107429</v>
      </c>
      <c r="G120" s="216">
        <v>11.48</v>
      </c>
      <c r="H120" s="181">
        <f t="shared" ref="H120:H128" si="26">ROUND(G120*$C120,0)</f>
        <v>2426608</v>
      </c>
      <c r="I120" s="99"/>
      <c r="J120" s="182"/>
      <c r="T120" s="181"/>
    </row>
    <row r="121" spans="1:20">
      <c r="A121" s="215" t="s">
        <v>518</v>
      </c>
      <c r="B121" s="99"/>
      <c r="C121" s="179">
        <v>481</v>
      </c>
      <c r="D121" s="216">
        <f>+'Tariff Summary Lights'!F66</f>
        <v>11.03</v>
      </c>
      <c r="E121" s="99"/>
      <c r="F121" s="181">
        <f t="shared" si="25"/>
        <v>5305</v>
      </c>
      <c r="G121" s="216">
        <v>12.52</v>
      </c>
      <c r="H121" s="181">
        <f t="shared" si="26"/>
        <v>6022</v>
      </c>
      <c r="I121" s="99"/>
      <c r="T121" s="181"/>
    </row>
    <row r="122" spans="1:20">
      <c r="A122" s="215" t="s">
        <v>519</v>
      </c>
      <c r="B122" s="99"/>
      <c r="C122" s="179">
        <v>23471</v>
      </c>
      <c r="D122" s="216">
        <f>+'Tariff Summary Lights'!F67</f>
        <v>12.1</v>
      </c>
      <c r="E122" s="99"/>
      <c r="F122" s="181">
        <f t="shared" si="25"/>
        <v>283999</v>
      </c>
      <c r="G122" s="216">
        <v>14.08</v>
      </c>
      <c r="H122" s="181">
        <f t="shared" si="26"/>
        <v>330472</v>
      </c>
      <c r="I122" s="99"/>
      <c r="L122" s="182"/>
      <c r="T122" s="181"/>
    </row>
    <row r="123" spans="1:20">
      <c r="A123" s="215" t="s">
        <v>525</v>
      </c>
      <c r="B123" s="99"/>
      <c r="C123" s="179">
        <v>21149</v>
      </c>
      <c r="D123" s="216">
        <f>+'Tariff Summary Lights'!F68</f>
        <v>13.16</v>
      </c>
      <c r="E123" s="99"/>
      <c r="F123" s="181">
        <f t="shared" si="25"/>
        <v>278321</v>
      </c>
      <c r="G123" s="216">
        <v>14.54</v>
      </c>
      <c r="H123" s="181">
        <f t="shared" si="26"/>
        <v>307506</v>
      </c>
      <c r="I123" s="99"/>
      <c r="L123" s="182"/>
      <c r="T123" s="181"/>
    </row>
    <row r="124" spans="1:20">
      <c r="A124" s="215" t="s">
        <v>524</v>
      </c>
      <c r="B124" s="99"/>
      <c r="C124" s="179">
        <v>896</v>
      </c>
      <c r="D124" s="216">
        <f>+'Tariff Summary Lights'!F69</f>
        <v>14.23</v>
      </c>
      <c r="E124" s="99"/>
      <c r="F124" s="181">
        <f t="shared" si="25"/>
        <v>12750</v>
      </c>
      <c r="G124" s="216">
        <v>16.3</v>
      </c>
      <c r="H124" s="181">
        <f t="shared" si="26"/>
        <v>14605</v>
      </c>
      <c r="I124" s="99"/>
      <c r="L124" s="182"/>
      <c r="T124" s="181"/>
    </row>
    <row r="125" spans="1:20">
      <c r="A125" s="215" t="s">
        <v>523</v>
      </c>
      <c r="B125" s="99"/>
      <c r="C125" s="179">
        <v>4956</v>
      </c>
      <c r="D125" s="216">
        <f>+'Tariff Summary Lights'!F70</f>
        <v>15.29</v>
      </c>
      <c r="E125" s="99"/>
      <c r="F125" s="181">
        <f t="shared" si="25"/>
        <v>75777</v>
      </c>
      <c r="G125" s="216">
        <v>17.14</v>
      </c>
      <c r="H125" s="181">
        <f t="shared" si="26"/>
        <v>84946</v>
      </c>
      <c r="I125" s="99"/>
      <c r="L125" s="182"/>
      <c r="T125" s="181"/>
    </row>
    <row r="126" spans="1:20">
      <c r="A126" s="215" t="s">
        <v>522</v>
      </c>
      <c r="B126" s="99"/>
      <c r="C126" s="179">
        <v>0</v>
      </c>
      <c r="D126" s="216">
        <f>+'Tariff Summary Lights'!F71</f>
        <v>16.36</v>
      </c>
      <c r="E126" s="99"/>
      <c r="F126" s="181">
        <f t="shared" si="25"/>
        <v>0</v>
      </c>
      <c r="G126" s="216">
        <v>18.75</v>
      </c>
      <c r="H126" s="181">
        <f t="shared" si="26"/>
        <v>0</v>
      </c>
      <c r="I126" s="99"/>
      <c r="J126" s="182"/>
      <c r="L126" s="182"/>
      <c r="T126" s="181"/>
    </row>
    <row r="127" spans="1:20">
      <c r="A127" s="215" t="s">
        <v>521</v>
      </c>
      <c r="B127" s="99"/>
      <c r="C127" s="179">
        <v>288</v>
      </c>
      <c r="D127" s="216">
        <f>+'Tariff Summary Lights'!F72</f>
        <v>17.420000000000002</v>
      </c>
      <c r="E127" s="99"/>
      <c r="F127" s="181">
        <f t="shared" si="25"/>
        <v>5017</v>
      </c>
      <c r="G127" s="216">
        <v>20.53</v>
      </c>
      <c r="H127" s="181">
        <f t="shared" si="26"/>
        <v>5913</v>
      </c>
      <c r="I127" s="99"/>
      <c r="J127" s="182"/>
      <c r="L127" s="182"/>
      <c r="T127" s="181"/>
    </row>
    <row r="128" spans="1:20">
      <c r="A128" s="215" t="s">
        <v>520</v>
      </c>
      <c r="B128" s="99"/>
      <c r="C128" s="179">
        <v>1308</v>
      </c>
      <c r="D128" s="216">
        <f>+'Tariff Summary Lights'!F73</f>
        <v>18.489999999999998</v>
      </c>
      <c r="E128" s="99"/>
      <c r="F128" s="181">
        <f t="shared" si="25"/>
        <v>24185</v>
      </c>
      <c r="G128" s="216">
        <v>21.55</v>
      </c>
      <c r="H128" s="181">
        <f t="shared" si="26"/>
        <v>28187</v>
      </c>
      <c r="I128" s="99"/>
      <c r="L128" s="182"/>
      <c r="T128" s="181"/>
    </row>
    <row r="129" spans="1:20">
      <c r="A129" s="118"/>
      <c r="B129" s="99"/>
      <c r="C129" s="179"/>
      <c r="D129" s="216"/>
      <c r="E129" s="99"/>
      <c r="F129" s="99"/>
      <c r="G129" s="216"/>
      <c r="H129" s="99"/>
      <c r="I129" s="99"/>
      <c r="L129" s="182"/>
      <c r="T129" s="181"/>
    </row>
    <row r="130" spans="1:20">
      <c r="A130" s="118" t="s">
        <v>385</v>
      </c>
      <c r="B130" s="99"/>
      <c r="C130" s="179">
        <v>0</v>
      </c>
      <c r="D130" s="216">
        <f>+'Tariff Summary Lights'!F75</f>
        <v>3.64</v>
      </c>
      <c r="E130" s="99"/>
      <c r="F130" s="181">
        <f t="shared" ref="F130:F138" si="27">IF(D130="n/a",0,ROUND(C130*D130,0))</f>
        <v>0</v>
      </c>
      <c r="G130" s="216">
        <v>3.36</v>
      </c>
      <c r="H130" s="181">
        <f t="shared" ref="H130:H138" si="28">ROUND(G130*$C130,0)</f>
        <v>0</v>
      </c>
      <c r="I130" s="99"/>
      <c r="L130" s="182"/>
      <c r="T130" s="181"/>
    </row>
    <row r="131" spans="1:20">
      <c r="A131" s="118" t="s">
        <v>386</v>
      </c>
      <c r="B131" s="99"/>
      <c r="C131" s="179">
        <v>684</v>
      </c>
      <c r="D131" s="216">
        <f>+'Tariff Summary Lights'!F76</f>
        <v>4.26</v>
      </c>
      <c r="E131" s="99"/>
      <c r="F131" s="181">
        <f t="shared" si="27"/>
        <v>2914</v>
      </c>
      <c r="G131" s="216">
        <v>4.04</v>
      </c>
      <c r="H131" s="181">
        <f t="shared" si="28"/>
        <v>2763</v>
      </c>
      <c r="I131" s="99"/>
      <c r="L131" s="182"/>
      <c r="T131" s="181"/>
    </row>
    <row r="132" spans="1:20">
      <c r="A132" s="118" t="s">
        <v>387</v>
      </c>
      <c r="B132" s="99"/>
      <c r="C132" s="179">
        <v>3066</v>
      </c>
      <c r="D132" s="216">
        <f>+'Tariff Summary Lights'!F77</f>
        <v>5.19</v>
      </c>
      <c r="E132" s="99"/>
      <c r="F132" s="181">
        <f t="shared" si="27"/>
        <v>15913</v>
      </c>
      <c r="G132" s="216">
        <v>5.0599999999999996</v>
      </c>
      <c r="H132" s="181">
        <f t="shared" si="28"/>
        <v>15514</v>
      </c>
      <c r="I132" s="99"/>
      <c r="L132" s="182"/>
      <c r="T132" s="181"/>
    </row>
    <row r="133" spans="1:20">
      <c r="A133" s="118" t="s">
        <v>388</v>
      </c>
      <c r="B133" s="99"/>
      <c r="C133" s="179">
        <v>1779</v>
      </c>
      <c r="D133" s="216">
        <f>+'Tariff Summary Lights'!F78</f>
        <v>6.73</v>
      </c>
      <c r="E133" s="99"/>
      <c r="F133" s="181">
        <f t="shared" si="27"/>
        <v>11973</v>
      </c>
      <c r="G133" s="216">
        <v>6.75</v>
      </c>
      <c r="H133" s="181">
        <f t="shared" si="28"/>
        <v>12008</v>
      </c>
      <c r="I133" s="99"/>
      <c r="L133" s="182"/>
      <c r="T133" s="181"/>
    </row>
    <row r="134" spans="1:20">
      <c r="A134" s="118" t="s">
        <v>389</v>
      </c>
      <c r="B134" s="99"/>
      <c r="C134" s="179">
        <v>5111</v>
      </c>
      <c r="D134" s="216">
        <f>+'Tariff Summary Lights'!F79</f>
        <v>8.27</v>
      </c>
      <c r="E134" s="99"/>
      <c r="F134" s="181">
        <f t="shared" si="27"/>
        <v>42268</v>
      </c>
      <c r="G134" s="216">
        <v>8.4499999999999993</v>
      </c>
      <c r="H134" s="181">
        <f t="shared" si="28"/>
        <v>43188</v>
      </c>
      <c r="I134" s="99"/>
      <c r="L134" s="182"/>
      <c r="T134" s="181"/>
    </row>
    <row r="135" spans="1:20">
      <c r="A135" s="118" t="s">
        <v>390</v>
      </c>
      <c r="B135" s="99"/>
      <c r="C135" s="179">
        <v>3364</v>
      </c>
      <c r="D135" s="216">
        <f>+'Tariff Summary Lights'!F80</f>
        <v>9.82</v>
      </c>
      <c r="E135" s="99"/>
      <c r="F135" s="181">
        <f t="shared" si="27"/>
        <v>33034</v>
      </c>
      <c r="G135" s="216">
        <v>10.15</v>
      </c>
      <c r="H135" s="181">
        <f t="shared" si="28"/>
        <v>34145</v>
      </c>
      <c r="I135" s="99"/>
      <c r="L135" s="182"/>
      <c r="T135" s="181"/>
    </row>
    <row r="136" spans="1:20">
      <c r="A136" s="118" t="s">
        <v>391</v>
      </c>
      <c r="B136" s="99"/>
      <c r="C136" s="179">
        <v>84</v>
      </c>
      <c r="D136" s="216">
        <f>+'Tariff Summary Lights'!F81</f>
        <v>11.67</v>
      </c>
      <c r="E136" s="99"/>
      <c r="F136" s="181">
        <f t="shared" si="27"/>
        <v>980</v>
      </c>
      <c r="G136" s="216">
        <v>12.19</v>
      </c>
      <c r="H136" s="181">
        <f t="shared" si="28"/>
        <v>1024</v>
      </c>
      <c r="I136" s="99"/>
      <c r="L136" s="182"/>
      <c r="T136" s="181"/>
    </row>
    <row r="137" spans="1:20">
      <c r="A137" s="118" t="s">
        <v>392</v>
      </c>
      <c r="B137" s="99"/>
      <c r="C137" s="179">
        <v>5174</v>
      </c>
      <c r="D137" s="216">
        <f>+'Tariff Summary Lights'!F82</f>
        <v>14.45</v>
      </c>
      <c r="E137" s="99"/>
      <c r="F137" s="181">
        <f t="shared" si="27"/>
        <v>74764</v>
      </c>
      <c r="G137" s="216">
        <v>15.25</v>
      </c>
      <c r="H137" s="181">
        <f t="shared" si="28"/>
        <v>78904</v>
      </c>
      <c r="I137" s="99"/>
      <c r="L137" s="182"/>
      <c r="T137" s="181"/>
    </row>
    <row r="138" spans="1:20">
      <c r="A138" s="118" t="s">
        <v>393</v>
      </c>
      <c r="B138" s="99"/>
      <c r="C138" s="179">
        <v>0</v>
      </c>
      <c r="D138" s="216">
        <f>+'Tariff Summary Lights'!F83</f>
        <v>32.97</v>
      </c>
      <c r="E138" s="99"/>
      <c r="F138" s="181">
        <f t="shared" si="27"/>
        <v>0</v>
      </c>
      <c r="G138" s="216">
        <v>35.630000000000003</v>
      </c>
      <c r="H138" s="181">
        <f t="shared" si="28"/>
        <v>0</v>
      </c>
      <c r="I138" s="99"/>
      <c r="L138" s="182"/>
      <c r="T138" s="181"/>
    </row>
    <row r="139" spans="1:20">
      <c r="A139" s="118"/>
      <c r="B139" s="99"/>
      <c r="C139" s="179"/>
      <c r="D139" s="216"/>
      <c r="E139" s="99"/>
      <c r="F139" s="99"/>
      <c r="G139" s="216"/>
      <c r="H139" s="99"/>
      <c r="I139" s="99"/>
      <c r="L139" s="182"/>
      <c r="T139" s="181"/>
    </row>
    <row r="140" spans="1:20">
      <c r="A140" s="118" t="s">
        <v>394</v>
      </c>
      <c r="B140" s="99"/>
      <c r="C140" s="179">
        <v>0</v>
      </c>
      <c r="D140" s="216">
        <f>+'Tariff Summary Lights'!F85</f>
        <v>6.36</v>
      </c>
      <c r="E140" s="99"/>
      <c r="F140" s="181">
        <f t="shared" ref="F140:F145" si="29">IF(D140="n/a",0,ROUND(C140*D140,0))</f>
        <v>0</v>
      </c>
      <c r="G140" s="216">
        <v>5.7</v>
      </c>
      <c r="H140" s="181">
        <f t="shared" ref="H140:H145" si="30">ROUND(G140*$C140,0)</f>
        <v>0</v>
      </c>
      <c r="I140" s="99"/>
      <c r="L140" s="182"/>
      <c r="T140" s="181"/>
    </row>
    <row r="141" spans="1:20">
      <c r="A141" s="118" t="s">
        <v>395</v>
      </c>
      <c r="B141" s="99"/>
      <c r="C141" s="179">
        <v>0</v>
      </c>
      <c r="D141" s="216">
        <f>+'Tariff Summary Lights'!F86</f>
        <v>7.28</v>
      </c>
      <c r="E141" s="99"/>
      <c r="F141" s="181">
        <f t="shared" si="29"/>
        <v>0</v>
      </c>
      <c r="G141" s="216">
        <v>6.72</v>
      </c>
      <c r="H141" s="181">
        <f t="shared" si="30"/>
        <v>0</v>
      </c>
      <c r="I141" s="99"/>
      <c r="L141" s="182"/>
      <c r="T141" s="181"/>
    </row>
    <row r="142" spans="1:20">
      <c r="A142" s="118" t="s">
        <v>396</v>
      </c>
      <c r="B142" s="99"/>
      <c r="C142" s="179">
        <v>0</v>
      </c>
      <c r="D142" s="216">
        <f>+'Tariff Summary Lights'!F87</f>
        <v>8.83</v>
      </c>
      <c r="E142" s="99"/>
      <c r="F142" s="181">
        <f t="shared" si="29"/>
        <v>0</v>
      </c>
      <c r="G142" s="216">
        <v>8.41</v>
      </c>
      <c r="H142" s="181">
        <f t="shared" si="30"/>
        <v>0</v>
      </c>
      <c r="I142" s="99"/>
      <c r="L142" s="182"/>
      <c r="T142" s="181"/>
    </row>
    <row r="143" spans="1:20">
      <c r="A143" s="118" t="s">
        <v>397</v>
      </c>
      <c r="B143" s="99"/>
      <c r="C143" s="179">
        <v>48</v>
      </c>
      <c r="D143" s="216">
        <f>+'Tariff Summary Lights'!F88</f>
        <v>9.6</v>
      </c>
      <c r="E143" s="99"/>
      <c r="F143" s="181">
        <f t="shared" si="29"/>
        <v>461</v>
      </c>
      <c r="G143" s="216">
        <v>9.26</v>
      </c>
      <c r="H143" s="181">
        <f t="shared" si="30"/>
        <v>444</v>
      </c>
      <c r="I143" s="99"/>
      <c r="L143" s="182"/>
      <c r="T143" s="181"/>
    </row>
    <row r="144" spans="1:20">
      <c r="A144" s="118" t="s">
        <v>398</v>
      </c>
      <c r="B144" s="99"/>
      <c r="C144" s="179">
        <v>0</v>
      </c>
      <c r="D144" s="216">
        <f>+'Tariff Summary Lights'!F89</f>
        <v>11.91</v>
      </c>
      <c r="E144" s="99"/>
      <c r="F144" s="181">
        <f t="shared" si="29"/>
        <v>0</v>
      </c>
      <c r="G144" s="216">
        <v>11.81</v>
      </c>
      <c r="H144" s="181">
        <f t="shared" si="30"/>
        <v>0</v>
      </c>
      <c r="I144" s="99"/>
      <c r="L144" s="182"/>
      <c r="T144" s="181"/>
    </row>
    <row r="145" spans="1:20">
      <c r="A145" s="118" t="s">
        <v>399</v>
      </c>
      <c r="B145" s="99"/>
      <c r="C145" s="179">
        <v>0</v>
      </c>
      <c r="D145" s="216">
        <f>+'Tariff Summary Lights'!F90</f>
        <v>16.55</v>
      </c>
      <c r="E145" s="99"/>
      <c r="F145" s="181">
        <f t="shared" si="29"/>
        <v>0</v>
      </c>
      <c r="G145" s="216">
        <v>16.91</v>
      </c>
      <c r="H145" s="181">
        <f t="shared" si="30"/>
        <v>0</v>
      </c>
      <c r="I145" s="99"/>
      <c r="L145" s="182"/>
      <c r="T145" s="181"/>
    </row>
    <row r="146" spans="1:20">
      <c r="A146" s="118"/>
      <c r="B146" s="99"/>
      <c r="C146" s="179"/>
      <c r="D146" s="216"/>
      <c r="E146" s="99"/>
      <c r="F146" s="99"/>
      <c r="G146" s="216"/>
      <c r="H146" s="99"/>
      <c r="I146" s="99"/>
      <c r="L146" s="182"/>
      <c r="T146" s="181"/>
    </row>
    <row r="147" spans="1:20">
      <c r="A147" s="215" t="s">
        <v>534</v>
      </c>
      <c r="B147" s="99"/>
      <c r="C147" s="179">
        <v>7103</v>
      </c>
      <c r="D147" s="216">
        <f>+'Tariff Summary Lights'!F92</f>
        <v>1.81</v>
      </c>
      <c r="E147" s="99"/>
      <c r="F147" s="181">
        <f t="shared" ref="F147:F155" si="31">IF(D147="n/a",0,ROUND(C147*D147,0))</f>
        <v>12856</v>
      </c>
      <c r="G147" s="216">
        <v>1.86</v>
      </c>
      <c r="H147" s="181">
        <f t="shared" ref="H147:H155" si="32">ROUND(G147*$C147,0)</f>
        <v>13212</v>
      </c>
      <c r="I147" s="99"/>
      <c r="L147" s="182"/>
      <c r="T147" s="181"/>
    </row>
    <row r="148" spans="1:20">
      <c r="A148" s="215" t="s">
        <v>526</v>
      </c>
      <c r="B148" s="99"/>
      <c r="C148" s="179">
        <v>7369</v>
      </c>
      <c r="D148" s="216">
        <f>+'Tariff Summary Lights'!F93</f>
        <v>2.74</v>
      </c>
      <c r="E148" s="99"/>
      <c r="F148" s="181">
        <f t="shared" si="31"/>
        <v>20191</v>
      </c>
      <c r="G148" s="216">
        <v>2.88</v>
      </c>
      <c r="H148" s="181">
        <f t="shared" si="32"/>
        <v>21223</v>
      </c>
      <c r="I148" s="99"/>
      <c r="L148" s="182"/>
      <c r="T148" s="181"/>
    </row>
    <row r="149" spans="1:20">
      <c r="A149" s="215" t="s">
        <v>527</v>
      </c>
      <c r="B149" s="99"/>
      <c r="C149" s="179">
        <v>10408</v>
      </c>
      <c r="D149" s="216">
        <f>+'Tariff Summary Lights'!F94</f>
        <v>3.66</v>
      </c>
      <c r="E149" s="99"/>
      <c r="F149" s="181">
        <f t="shared" si="31"/>
        <v>38093</v>
      </c>
      <c r="G149" s="216">
        <v>3.9</v>
      </c>
      <c r="H149" s="181">
        <f t="shared" si="32"/>
        <v>40591</v>
      </c>
      <c r="I149" s="99"/>
      <c r="L149" s="182"/>
      <c r="T149" s="181"/>
    </row>
    <row r="150" spans="1:20">
      <c r="A150" s="215" t="s">
        <v>528</v>
      </c>
      <c r="B150" s="99"/>
      <c r="C150" s="179">
        <v>1687</v>
      </c>
      <c r="D150" s="216">
        <f>+'Tariff Summary Lights'!F95</f>
        <v>4.59</v>
      </c>
      <c r="E150" s="99"/>
      <c r="F150" s="181">
        <f t="shared" si="31"/>
        <v>7743</v>
      </c>
      <c r="G150" s="216">
        <v>4.92</v>
      </c>
      <c r="H150" s="181">
        <f t="shared" si="32"/>
        <v>8300</v>
      </c>
      <c r="I150" s="99"/>
      <c r="L150" s="182"/>
      <c r="T150" s="181"/>
    </row>
    <row r="151" spans="1:20">
      <c r="A151" s="215" t="s">
        <v>529</v>
      </c>
      <c r="B151" s="99"/>
      <c r="C151" s="179">
        <v>15781</v>
      </c>
      <c r="D151" s="216">
        <f>+'Tariff Summary Lights'!F96</f>
        <v>5.51</v>
      </c>
      <c r="E151" s="99"/>
      <c r="F151" s="181">
        <f t="shared" si="31"/>
        <v>86953</v>
      </c>
      <c r="G151" s="216">
        <v>5.94</v>
      </c>
      <c r="H151" s="181">
        <f t="shared" si="32"/>
        <v>93739</v>
      </c>
      <c r="I151" s="99"/>
      <c r="L151" s="182"/>
      <c r="T151" s="181"/>
    </row>
    <row r="152" spans="1:20">
      <c r="A152" s="215" t="s">
        <v>530</v>
      </c>
      <c r="B152" s="99"/>
      <c r="C152" s="179">
        <v>1288</v>
      </c>
      <c r="D152" s="216">
        <f>+'Tariff Summary Lights'!F97</f>
        <v>6.44</v>
      </c>
      <c r="E152" s="99"/>
      <c r="F152" s="181">
        <f t="shared" si="31"/>
        <v>8295</v>
      </c>
      <c r="G152" s="216">
        <v>6.96</v>
      </c>
      <c r="H152" s="181">
        <f t="shared" si="32"/>
        <v>8964</v>
      </c>
      <c r="I152" s="99"/>
      <c r="L152" s="182"/>
      <c r="T152" s="181"/>
    </row>
    <row r="153" spans="1:20">
      <c r="A153" s="215" t="s">
        <v>531</v>
      </c>
      <c r="B153" s="99"/>
      <c r="C153" s="179">
        <v>0</v>
      </c>
      <c r="D153" s="216">
        <f>+'Tariff Summary Lights'!F98</f>
        <v>7.37</v>
      </c>
      <c r="E153" s="99"/>
      <c r="F153" s="181">
        <f t="shared" si="31"/>
        <v>0</v>
      </c>
      <c r="G153" s="216">
        <v>7.97</v>
      </c>
      <c r="H153" s="181">
        <f t="shared" si="32"/>
        <v>0</v>
      </c>
      <c r="I153" s="99"/>
      <c r="L153" s="182"/>
      <c r="T153" s="181"/>
    </row>
    <row r="154" spans="1:20">
      <c r="A154" s="215" t="s">
        <v>532</v>
      </c>
      <c r="B154" s="99"/>
      <c r="C154" s="179">
        <v>0</v>
      </c>
      <c r="D154" s="216">
        <f>+'Tariff Summary Lights'!F99</f>
        <v>8.2899999999999991</v>
      </c>
      <c r="E154" s="99"/>
      <c r="F154" s="181">
        <f t="shared" si="31"/>
        <v>0</v>
      </c>
      <c r="G154" s="216">
        <v>8.99</v>
      </c>
      <c r="H154" s="181">
        <f t="shared" si="32"/>
        <v>0</v>
      </c>
      <c r="I154" s="99"/>
      <c r="L154" s="182"/>
      <c r="T154" s="181"/>
    </row>
    <row r="155" spans="1:20">
      <c r="A155" s="215" t="s">
        <v>533</v>
      </c>
      <c r="B155" s="99"/>
      <c r="C155" s="179">
        <v>0</v>
      </c>
      <c r="D155" s="216">
        <f>+'Tariff Summary Lights'!F100</f>
        <v>9.2200000000000006</v>
      </c>
      <c r="E155" s="99"/>
      <c r="F155" s="181">
        <f t="shared" si="31"/>
        <v>0</v>
      </c>
      <c r="G155" s="216">
        <v>10.01</v>
      </c>
      <c r="H155" s="181">
        <f t="shared" si="32"/>
        <v>0</v>
      </c>
      <c r="I155" s="99"/>
      <c r="L155" s="182"/>
      <c r="T155" s="181"/>
    </row>
    <row r="156" spans="1:20">
      <c r="A156" s="218" t="s">
        <v>34</v>
      </c>
      <c r="C156" s="219">
        <f>SUM(C104:C155)</f>
        <v>904213</v>
      </c>
      <c r="D156" s="176"/>
      <c r="F156" s="229">
        <f>SUM(F104:F155)</f>
        <v>11000314</v>
      </c>
      <c r="G156" s="176"/>
      <c r="H156" s="229">
        <f>SUM(H104:H155)</f>
        <v>12617541</v>
      </c>
      <c r="I156" s="99"/>
      <c r="T156" s="229"/>
    </row>
    <row r="157" spans="1:20">
      <c r="A157" s="218"/>
      <c r="C157" s="207"/>
      <c r="D157" s="176"/>
      <c r="F157" s="54"/>
      <c r="G157" s="176"/>
      <c r="H157" s="54"/>
      <c r="I157" s="99"/>
    </row>
    <row r="158" spans="1:20">
      <c r="A158" s="230" t="s">
        <v>139</v>
      </c>
      <c r="B158" s="99"/>
      <c r="C158" s="185">
        <v>32137</v>
      </c>
      <c r="E158" s="180"/>
      <c r="F158" s="181"/>
      <c r="H158" s="181"/>
      <c r="I158" s="181"/>
    </row>
    <row r="159" spans="1:20">
      <c r="A159" s="230"/>
      <c r="B159" s="99"/>
      <c r="C159" s="209"/>
      <c r="E159" s="180"/>
      <c r="F159" s="181"/>
      <c r="H159" s="181"/>
      <c r="I159" s="181"/>
      <c r="K159" s="182"/>
    </row>
    <row r="160" spans="1:20">
      <c r="A160" s="177" t="s">
        <v>349</v>
      </c>
      <c r="C160" s="185">
        <v>38270082.024000004</v>
      </c>
      <c r="E160" s="180"/>
      <c r="F160" s="181"/>
      <c r="H160" s="181"/>
      <c r="I160" s="100"/>
    </row>
    <row r="161" spans="1:20">
      <c r="A161" s="177" t="s">
        <v>350</v>
      </c>
      <c r="C161" s="185">
        <v>-155051.01750000007</v>
      </c>
      <c r="D161" s="221">
        <f>ROUND(F161/C161,6)</f>
        <v>0.23521300000000001</v>
      </c>
      <c r="E161" s="183"/>
      <c r="F161" s="181">
        <f>$P$16</f>
        <v>-36470</v>
      </c>
      <c r="G161" s="221">
        <f>ROUND(H161/C161,6)</f>
        <v>0.25745699999999999</v>
      </c>
      <c r="H161" s="181">
        <f>ROUND(+F161*(1+J161),0)</f>
        <v>-39919</v>
      </c>
      <c r="I161" s="183"/>
      <c r="J161" s="98">
        <f>+$J$45</f>
        <v>9.457260029107821E-2</v>
      </c>
      <c r="K161" s="317" t="s">
        <v>351</v>
      </c>
      <c r="L161" s="317"/>
      <c r="M161" s="222"/>
      <c r="N161" s="222"/>
      <c r="O161" s="222"/>
      <c r="P161" s="222"/>
      <c r="Q161" s="222"/>
      <c r="R161" s="222"/>
      <c r="S161" s="222"/>
      <c r="T161" s="222"/>
    </row>
    <row r="162" spans="1:20" ht="16.5" thickBot="1">
      <c r="A162" s="223" t="s">
        <v>35</v>
      </c>
      <c r="B162" s="99"/>
      <c r="C162" s="224">
        <f>SUM(C160:C161)</f>
        <v>38115031.006500006</v>
      </c>
      <c r="D162" s="100"/>
      <c r="F162" s="225">
        <f>SUM(F161,F156)</f>
        <v>10963844</v>
      </c>
      <c r="G162" s="100"/>
      <c r="H162" s="225">
        <f>SUM(H161,H156)</f>
        <v>12577622</v>
      </c>
      <c r="I162" s="105"/>
    </row>
    <row r="163" spans="1:20" ht="16.5" thickTop="1">
      <c r="A163" s="233"/>
      <c r="B163" s="99"/>
      <c r="C163" s="109"/>
      <c r="D163" s="234"/>
      <c r="E163" s="235"/>
      <c r="F163" s="100"/>
      <c r="G163" s="234"/>
      <c r="H163" s="100"/>
      <c r="I163" s="100"/>
    </row>
    <row r="164" spans="1:20">
      <c r="A164" s="99"/>
      <c r="B164" s="99"/>
      <c r="C164" s="109"/>
      <c r="D164" s="234"/>
      <c r="E164" s="235"/>
      <c r="F164" s="100"/>
      <c r="G164" s="234"/>
      <c r="H164" s="100"/>
      <c r="I164" s="100"/>
    </row>
    <row r="165" spans="1:20">
      <c r="A165" s="99"/>
      <c r="B165" s="99"/>
      <c r="C165" s="109"/>
      <c r="D165" s="234"/>
      <c r="E165" s="235"/>
      <c r="F165" s="100"/>
      <c r="G165" s="234"/>
      <c r="H165" s="100"/>
      <c r="I165" s="100"/>
    </row>
    <row r="166" spans="1:20">
      <c r="A166" s="99"/>
      <c r="B166" s="99"/>
      <c r="C166" s="109"/>
      <c r="D166" s="234" t="s">
        <v>0</v>
      </c>
      <c r="E166" s="235"/>
      <c r="F166" s="100"/>
      <c r="G166" s="234" t="s">
        <v>0</v>
      </c>
      <c r="H166" s="100" t="s">
        <v>0</v>
      </c>
      <c r="I166" s="100"/>
    </row>
    <row r="167" spans="1:20">
      <c r="A167" s="349" t="s">
        <v>47</v>
      </c>
      <c r="B167" s="349"/>
      <c r="C167" s="349"/>
      <c r="D167" s="349"/>
      <c r="E167" s="349"/>
      <c r="F167" s="349"/>
      <c r="G167" s="349"/>
      <c r="H167" s="349"/>
      <c r="I167" s="99"/>
    </row>
    <row r="168" spans="1:20">
      <c r="A168" s="230" t="s">
        <v>400</v>
      </c>
      <c r="B168" s="99"/>
      <c r="C168" s="99"/>
      <c r="D168" s="99"/>
      <c r="E168" s="99"/>
      <c r="F168" s="99"/>
      <c r="G168" s="99"/>
      <c r="H168" s="99"/>
      <c r="I168" s="99"/>
    </row>
    <row r="169" spans="1:20">
      <c r="A169" s="99"/>
      <c r="B169" s="99"/>
      <c r="C169" s="99"/>
      <c r="D169" s="232"/>
      <c r="E169" s="99"/>
      <c r="F169" s="99"/>
      <c r="G169" s="232"/>
      <c r="H169" s="99"/>
      <c r="I169" s="99"/>
    </row>
    <row r="170" spans="1:20">
      <c r="A170" s="118" t="s">
        <v>401</v>
      </c>
      <c r="B170" s="99"/>
      <c r="C170" s="179">
        <v>456</v>
      </c>
      <c r="D170" s="216">
        <f>+'Tariff Summary Lights'!F102</f>
        <v>1.54</v>
      </c>
      <c r="E170" s="99"/>
      <c r="F170" s="181">
        <f t="shared" ref="F170:F178" si="33">IF(D170="n/a",0,ROUND(C170*D170,0))</f>
        <v>702</v>
      </c>
      <c r="G170" s="216">
        <v>1.7</v>
      </c>
      <c r="H170" s="181">
        <f t="shared" ref="H170:H178" si="34">ROUND(G170*$C170,0)</f>
        <v>775</v>
      </c>
      <c r="I170" s="181"/>
      <c r="J170" s="216"/>
      <c r="L170" s="182"/>
      <c r="T170" s="181"/>
    </row>
    <row r="171" spans="1:20">
      <c r="A171" s="118" t="s">
        <v>402</v>
      </c>
      <c r="B171" s="99"/>
      <c r="C171" s="179">
        <v>8767</v>
      </c>
      <c r="D171" s="216">
        <f>+'Tariff Summary Lights'!F103</f>
        <v>2.16</v>
      </c>
      <c r="E171" s="99"/>
      <c r="F171" s="181">
        <f t="shared" si="33"/>
        <v>18937</v>
      </c>
      <c r="G171" s="216">
        <v>2.38</v>
      </c>
      <c r="H171" s="181">
        <f t="shared" si="34"/>
        <v>20865</v>
      </c>
      <c r="I171" s="181"/>
      <c r="L171" s="182"/>
      <c r="T171" s="181"/>
    </row>
    <row r="172" spans="1:20">
      <c r="A172" s="118" t="s">
        <v>403</v>
      </c>
      <c r="B172" s="99"/>
      <c r="C172" s="179">
        <v>20536</v>
      </c>
      <c r="D172" s="216">
        <f>+'Tariff Summary Lights'!F104</f>
        <v>3.09</v>
      </c>
      <c r="E172" s="99"/>
      <c r="F172" s="181">
        <f t="shared" si="33"/>
        <v>63456</v>
      </c>
      <c r="G172" s="216">
        <v>3.4</v>
      </c>
      <c r="H172" s="181">
        <f t="shared" si="34"/>
        <v>69822</v>
      </c>
      <c r="I172" s="181"/>
      <c r="L172" s="182"/>
      <c r="T172" s="181"/>
    </row>
    <row r="173" spans="1:20">
      <c r="A173" s="118" t="s">
        <v>404</v>
      </c>
      <c r="B173" s="99"/>
      <c r="C173" s="179">
        <v>6043</v>
      </c>
      <c r="D173" s="216">
        <f>+'Tariff Summary Lights'!F105</f>
        <v>4.63</v>
      </c>
      <c r="E173" s="99"/>
      <c r="F173" s="181">
        <f t="shared" si="33"/>
        <v>27979</v>
      </c>
      <c r="G173" s="216">
        <v>5.0999999999999996</v>
      </c>
      <c r="H173" s="181">
        <f t="shared" si="34"/>
        <v>30819</v>
      </c>
      <c r="I173" s="181"/>
      <c r="L173" s="182"/>
      <c r="T173" s="181"/>
    </row>
    <row r="174" spans="1:20">
      <c r="A174" s="118" t="s">
        <v>405</v>
      </c>
      <c r="B174" s="99"/>
      <c r="C174" s="179">
        <v>8057</v>
      </c>
      <c r="D174" s="216">
        <f>+'Tariff Summary Lights'!F106</f>
        <v>6.17</v>
      </c>
      <c r="E174" s="99"/>
      <c r="F174" s="181">
        <f t="shared" si="33"/>
        <v>49712</v>
      </c>
      <c r="G174" s="216">
        <v>6.79</v>
      </c>
      <c r="H174" s="181">
        <f t="shared" si="34"/>
        <v>54707</v>
      </c>
      <c r="I174" s="181"/>
      <c r="L174" s="182"/>
      <c r="T174" s="181"/>
    </row>
    <row r="175" spans="1:20">
      <c r="A175" s="118" t="s">
        <v>406</v>
      </c>
      <c r="B175" s="99"/>
      <c r="C175" s="179">
        <v>18169</v>
      </c>
      <c r="D175" s="216">
        <f>+'Tariff Summary Lights'!F107</f>
        <v>7.72</v>
      </c>
      <c r="E175" s="99"/>
      <c r="F175" s="181">
        <f t="shared" si="33"/>
        <v>140265</v>
      </c>
      <c r="G175" s="216">
        <v>8.49</v>
      </c>
      <c r="H175" s="181">
        <f t="shared" si="34"/>
        <v>154255</v>
      </c>
      <c r="I175" s="181"/>
      <c r="L175" s="182"/>
      <c r="T175" s="181"/>
    </row>
    <row r="176" spans="1:20">
      <c r="A176" s="118" t="s">
        <v>407</v>
      </c>
      <c r="B176" s="99"/>
      <c r="C176" s="179">
        <v>903</v>
      </c>
      <c r="D176" s="216">
        <f>+'Tariff Summary Lights'!F108</f>
        <v>9.57</v>
      </c>
      <c r="E176" s="99"/>
      <c r="F176" s="181">
        <f t="shared" si="33"/>
        <v>8642</v>
      </c>
      <c r="G176" s="216">
        <v>10.53</v>
      </c>
      <c r="H176" s="181">
        <f t="shared" si="34"/>
        <v>9509</v>
      </c>
      <c r="I176" s="181"/>
      <c r="L176" s="182"/>
      <c r="T176" s="181"/>
    </row>
    <row r="177" spans="1:20">
      <c r="A177" s="118" t="s">
        <v>408</v>
      </c>
      <c r="B177" s="99"/>
      <c r="C177" s="179">
        <v>9002</v>
      </c>
      <c r="D177" s="216">
        <f>+'Tariff Summary Lights'!F109</f>
        <v>12.35</v>
      </c>
      <c r="E177" s="99"/>
      <c r="F177" s="181">
        <f t="shared" si="33"/>
        <v>111175</v>
      </c>
      <c r="G177" s="216">
        <v>13.59</v>
      </c>
      <c r="H177" s="181">
        <f t="shared" si="34"/>
        <v>122337</v>
      </c>
      <c r="I177" s="181"/>
      <c r="L177" s="182"/>
      <c r="T177" s="181"/>
    </row>
    <row r="178" spans="1:20">
      <c r="A178" s="118" t="s">
        <v>409</v>
      </c>
      <c r="B178" s="99"/>
      <c r="C178" s="179">
        <v>132</v>
      </c>
      <c r="D178" s="216">
        <f>+'Tariff Summary Lights'!F110</f>
        <v>30.87</v>
      </c>
      <c r="E178" s="99"/>
      <c r="F178" s="181">
        <f t="shared" si="33"/>
        <v>4075</v>
      </c>
      <c r="G178" s="216">
        <v>33.97</v>
      </c>
      <c r="H178" s="181">
        <f t="shared" si="34"/>
        <v>4484</v>
      </c>
      <c r="I178" s="181"/>
      <c r="L178" s="182"/>
      <c r="T178" s="181"/>
    </row>
    <row r="179" spans="1:20">
      <c r="A179" s="118"/>
      <c r="B179" s="99"/>
      <c r="C179" s="179"/>
      <c r="D179" s="216"/>
      <c r="E179" s="99"/>
      <c r="F179" s="181"/>
      <c r="G179" s="216"/>
      <c r="H179" s="181"/>
      <c r="I179" s="181"/>
      <c r="L179" s="182"/>
      <c r="T179" s="181"/>
    </row>
    <row r="180" spans="1:20">
      <c r="A180" s="189" t="s">
        <v>535</v>
      </c>
      <c r="B180" s="99"/>
      <c r="C180" s="179">
        <v>16680</v>
      </c>
      <c r="D180" s="216">
        <f>+'Tariff Summary Lights'!F112</f>
        <v>1.39</v>
      </c>
      <c r="E180" s="99"/>
      <c r="F180" s="181">
        <f t="shared" ref="F180:F188" si="35">IF(D180="n/a",0,ROUND(C180*D180,0))</f>
        <v>23185</v>
      </c>
      <c r="G180" s="216">
        <v>1.53</v>
      </c>
      <c r="H180" s="181">
        <f t="shared" ref="H180:H188" si="36">ROUND(G180*$C180,0)</f>
        <v>25520</v>
      </c>
      <c r="I180" s="181"/>
      <c r="L180" s="182"/>
      <c r="N180" s="182"/>
      <c r="T180" s="181"/>
    </row>
    <row r="181" spans="1:20">
      <c r="A181" s="215" t="s">
        <v>543</v>
      </c>
      <c r="B181" s="99"/>
      <c r="C181" s="179">
        <v>214</v>
      </c>
      <c r="D181" s="216">
        <f>+'Tariff Summary Lights'!F113</f>
        <v>2.3199999999999998</v>
      </c>
      <c r="E181" s="99"/>
      <c r="F181" s="181">
        <f t="shared" si="35"/>
        <v>496</v>
      </c>
      <c r="G181" s="216">
        <v>2.5499999999999998</v>
      </c>
      <c r="H181" s="181">
        <f t="shared" si="36"/>
        <v>546</v>
      </c>
      <c r="I181" s="181"/>
      <c r="L181" s="182"/>
      <c r="N181" s="182"/>
      <c r="T181" s="181"/>
    </row>
    <row r="182" spans="1:20">
      <c r="A182" s="215" t="s">
        <v>536</v>
      </c>
      <c r="B182" s="99"/>
      <c r="C182" s="179">
        <v>20366</v>
      </c>
      <c r="D182" s="216">
        <f>+'Tariff Summary Lights'!F114</f>
        <v>3.24</v>
      </c>
      <c r="E182" s="99"/>
      <c r="F182" s="181">
        <f t="shared" si="35"/>
        <v>65986</v>
      </c>
      <c r="G182" s="216">
        <v>3.57</v>
      </c>
      <c r="H182" s="181">
        <f t="shared" si="36"/>
        <v>72707</v>
      </c>
      <c r="I182" s="181"/>
      <c r="L182" s="182"/>
      <c r="N182" s="182"/>
      <c r="T182" s="181"/>
    </row>
    <row r="183" spans="1:20">
      <c r="A183" s="215" t="s">
        <v>537</v>
      </c>
      <c r="B183" s="99"/>
      <c r="C183" s="179">
        <v>9608</v>
      </c>
      <c r="D183" s="216">
        <f>+'Tariff Summary Lights'!F115</f>
        <v>4.17</v>
      </c>
      <c r="E183" s="99"/>
      <c r="F183" s="181">
        <f t="shared" si="35"/>
        <v>40065</v>
      </c>
      <c r="G183" s="216">
        <v>4.59</v>
      </c>
      <c r="H183" s="181">
        <f t="shared" si="36"/>
        <v>44101</v>
      </c>
      <c r="I183" s="181"/>
      <c r="L183" s="182"/>
      <c r="N183" s="182"/>
      <c r="T183" s="181"/>
    </row>
    <row r="184" spans="1:20">
      <c r="A184" s="215" t="s">
        <v>538</v>
      </c>
      <c r="B184" s="99"/>
      <c r="C184" s="179">
        <v>3792</v>
      </c>
      <c r="D184" s="216">
        <f>+'Tariff Summary Lights'!F116</f>
        <v>5.09</v>
      </c>
      <c r="E184" s="99"/>
      <c r="F184" s="181">
        <f t="shared" si="35"/>
        <v>19301</v>
      </c>
      <c r="G184" s="216">
        <v>5.6</v>
      </c>
      <c r="H184" s="181">
        <f t="shared" si="36"/>
        <v>21235</v>
      </c>
      <c r="I184" s="181"/>
      <c r="L184" s="182"/>
      <c r="N184" s="182"/>
      <c r="T184" s="181"/>
    </row>
    <row r="185" spans="1:20">
      <c r="A185" s="215" t="s">
        <v>539</v>
      </c>
      <c r="B185" s="99"/>
      <c r="C185" s="179">
        <v>223</v>
      </c>
      <c r="D185" s="216">
        <f>+'Tariff Summary Lights'!F117</f>
        <v>6.02</v>
      </c>
      <c r="E185" s="99"/>
      <c r="F185" s="181">
        <f t="shared" si="35"/>
        <v>1342</v>
      </c>
      <c r="G185" s="216">
        <v>6.62</v>
      </c>
      <c r="H185" s="181">
        <f t="shared" si="36"/>
        <v>1476</v>
      </c>
      <c r="I185" s="181"/>
      <c r="L185" s="182"/>
      <c r="N185" s="182"/>
      <c r="T185" s="181"/>
    </row>
    <row r="186" spans="1:20">
      <c r="A186" s="215" t="s">
        <v>540</v>
      </c>
      <c r="B186" s="99"/>
      <c r="C186" s="179">
        <v>0</v>
      </c>
      <c r="D186" s="216">
        <f>+'Tariff Summary Lights'!F118</f>
        <v>6.95</v>
      </c>
      <c r="E186" s="99"/>
      <c r="F186" s="181">
        <f t="shared" si="35"/>
        <v>0</v>
      </c>
      <c r="G186" s="216">
        <v>7.64</v>
      </c>
      <c r="H186" s="181">
        <f t="shared" si="36"/>
        <v>0</v>
      </c>
      <c r="I186" s="181"/>
      <c r="L186" s="182"/>
      <c r="N186" s="182"/>
      <c r="T186" s="181"/>
    </row>
    <row r="187" spans="1:20">
      <c r="A187" s="215" t="s">
        <v>541</v>
      </c>
      <c r="B187" s="99"/>
      <c r="C187" s="179">
        <v>127</v>
      </c>
      <c r="D187" s="216">
        <f>+'Tariff Summary Lights'!F119</f>
        <v>7.87</v>
      </c>
      <c r="E187" s="99"/>
      <c r="F187" s="181">
        <f t="shared" si="35"/>
        <v>999</v>
      </c>
      <c r="G187" s="216">
        <v>8.66</v>
      </c>
      <c r="H187" s="181">
        <f t="shared" si="36"/>
        <v>1100</v>
      </c>
      <c r="I187" s="181"/>
      <c r="L187" s="182"/>
      <c r="N187" s="182"/>
      <c r="T187" s="181"/>
    </row>
    <row r="188" spans="1:20">
      <c r="A188" s="215" t="s">
        <v>542</v>
      </c>
      <c r="B188" s="99"/>
      <c r="C188" s="179">
        <v>0</v>
      </c>
      <c r="D188" s="216">
        <f>+'Tariff Summary Lights'!F120</f>
        <v>8.8000000000000007</v>
      </c>
      <c r="E188" s="99"/>
      <c r="F188" s="181">
        <f t="shared" si="35"/>
        <v>0</v>
      </c>
      <c r="G188" s="216">
        <v>9.68</v>
      </c>
      <c r="H188" s="181">
        <f t="shared" si="36"/>
        <v>0</v>
      </c>
      <c r="I188" s="181"/>
      <c r="L188" s="182"/>
      <c r="N188" s="182"/>
      <c r="T188" s="181"/>
    </row>
    <row r="189" spans="1:20">
      <c r="A189" s="218" t="s">
        <v>34</v>
      </c>
      <c r="C189" s="219">
        <f>SUM(C170:C188)</f>
        <v>123075</v>
      </c>
      <c r="D189" s="176"/>
      <c r="F189" s="229">
        <f>SUM(F170:F188)</f>
        <v>576317</v>
      </c>
      <c r="G189" s="176"/>
      <c r="H189" s="229">
        <f>SUM(H170:H188)</f>
        <v>634258</v>
      </c>
      <c r="I189" s="181"/>
      <c r="L189" s="182"/>
      <c r="T189" s="229"/>
    </row>
    <row r="190" spans="1:20">
      <c r="A190" s="218"/>
      <c r="C190" s="207"/>
      <c r="D190" s="176"/>
      <c r="F190" s="54"/>
      <c r="G190" s="176"/>
      <c r="H190" s="54"/>
      <c r="I190" s="181"/>
    </row>
    <row r="191" spans="1:20">
      <c r="A191" s="230" t="s">
        <v>139</v>
      </c>
      <c r="B191" s="99"/>
      <c r="C191" s="185">
        <v>536</v>
      </c>
      <c r="E191" s="180"/>
      <c r="F191" s="181"/>
      <c r="H191" s="181"/>
      <c r="I191" s="181"/>
    </row>
    <row r="192" spans="1:20">
      <c r="A192" s="230"/>
      <c r="B192" s="99"/>
      <c r="C192" s="209"/>
      <c r="E192" s="180"/>
      <c r="F192" s="181"/>
      <c r="H192" s="181"/>
      <c r="I192" s="181"/>
    </row>
    <row r="193" spans="1:20">
      <c r="A193" s="177" t="s">
        <v>349</v>
      </c>
      <c r="C193" s="185">
        <v>7136853.8660000004</v>
      </c>
      <c r="E193" s="180"/>
      <c r="F193" s="181"/>
      <c r="H193" s="181"/>
      <c r="I193" s="181"/>
    </row>
    <row r="194" spans="1:20">
      <c r="A194" s="177" t="s">
        <v>350</v>
      </c>
      <c r="C194" s="185">
        <v>-10296</v>
      </c>
      <c r="D194" s="221">
        <f>ROUND(F194/C194,6)</f>
        <v>0.235237</v>
      </c>
      <c r="E194" s="183"/>
      <c r="F194" s="181">
        <f>$P$17</f>
        <v>-2422</v>
      </c>
      <c r="G194" s="221">
        <f>ROUND(H194/C194,6)</f>
        <v>0.25747900000000001</v>
      </c>
      <c r="H194" s="181">
        <f>ROUND(+F194*(1+J194),0)</f>
        <v>-2651</v>
      </c>
      <c r="I194" s="183"/>
      <c r="J194" s="98">
        <f>+$J$45</f>
        <v>9.457260029107821E-2</v>
      </c>
      <c r="K194" s="329" t="s">
        <v>351</v>
      </c>
      <c r="L194" s="329"/>
      <c r="M194" s="222"/>
      <c r="N194" s="222"/>
      <c r="O194" s="222"/>
      <c r="P194" s="222"/>
      <c r="Q194" s="222"/>
      <c r="R194" s="222"/>
      <c r="S194" s="222"/>
      <c r="T194" s="222"/>
    </row>
    <row r="195" spans="1:20" ht="16.5" thickBot="1">
      <c r="A195" s="223" t="s">
        <v>35</v>
      </c>
      <c r="B195" s="99"/>
      <c r="C195" s="224">
        <f>SUM(C193:C194)</f>
        <v>7126557.8660000004</v>
      </c>
      <c r="D195" s="100"/>
      <c r="F195" s="225">
        <f>SUM(F189,F194)</f>
        <v>573895</v>
      </c>
      <c r="G195" s="100"/>
      <c r="H195" s="225">
        <f>SUM(H189,H194)</f>
        <v>631607</v>
      </c>
      <c r="I195" s="181"/>
    </row>
    <row r="196" spans="1:20" ht="16.5" thickTop="1">
      <c r="A196" s="99"/>
      <c r="B196" s="99"/>
      <c r="C196" s="109"/>
      <c r="D196" s="234" t="s">
        <v>0</v>
      </c>
      <c r="E196" s="235"/>
      <c r="F196" s="100"/>
      <c r="G196" s="234" t="s">
        <v>0</v>
      </c>
      <c r="H196" s="100" t="s">
        <v>0</v>
      </c>
      <c r="I196" s="100"/>
    </row>
    <row r="197" spans="1:20">
      <c r="C197" s="109"/>
      <c r="D197" s="20"/>
      <c r="E197" s="20"/>
      <c r="F197" s="186"/>
      <c r="H197" s="185"/>
      <c r="I197" s="185"/>
    </row>
    <row r="198" spans="1:20">
      <c r="A198" s="349" t="s">
        <v>158</v>
      </c>
      <c r="B198" s="349"/>
      <c r="C198" s="349"/>
      <c r="D198" s="349"/>
      <c r="E198" s="349"/>
      <c r="F198" s="349"/>
      <c r="G198" s="349"/>
      <c r="H198" s="349"/>
    </row>
    <row r="199" spans="1:20">
      <c r="A199" s="230" t="s">
        <v>410</v>
      </c>
      <c r="B199" s="99"/>
      <c r="C199" s="99"/>
      <c r="D199" s="99"/>
      <c r="E199" s="99"/>
      <c r="F199" s="99"/>
      <c r="G199" s="99"/>
      <c r="H199" s="99"/>
      <c r="I199" s="182"/>
    </row>
    <row r="200" spans="1:20">
      <c r="A200" s="99"/>
      <c r="B200" s="99"/>
      <c r="C200" s="99"/>
      <c r="D200" s="232"/>
      <c r="E200" s="99"/>
      <c r="F200" s="99"/>
      <c r="G200" s="232"/>
      <c r="H200" s="99"/>
    </row>
    <row r="201" spans="1:20">
      <c r="A201" s="118" t="s">
        <v>411</v>
      </c>
      <c r="B201" s="99"/>
      <c r="C201" s="179">
        <v>213</v>
      </c>
      <c r="D201" s="216">
        <f>+'Tariff Summary Lights'!F122</f>
        <v>11.53</v>
      </c>
      <c r="E201" s="99"/>
      <c r="F201" s="181">
        <f t="shared" ref="F201:F206" si="37">IF(D201="n/a",0,ROUND(C201*D201,0))</f>
        <v>2456</v>
      </c>
      <c r="G201" s="216">
        <v>14.247387233866368</v>
      </c>
      <c r="H201" s="181">
        <f t="shared" ref="H201:H206" si="38">ROUND(G201*$C201,0)</f>
        <v>3035</v>
      </c>
      <c r="T201" s="181"/>
    </row>
    <row r="202" spans="1:20">
      <c r="A202" s="118" t="s">
        <v>412</v>
      </c>
      <c r="B202" s="99"/>
      <c r="C202" s="179">
        <v>46760</v>
      </c>
      <c r="D202" s="216">
        <f>+'Tariff Summary Lights'!F123</f>
        <v>12.72</v>
      </c>
      <c r="E202" s="99"/>
      <c r="F202" s="181">
        <f t="shared" si="37"/>
        <v>594787</v>
      </c>
      <c r="G202" s="216">
        <v>14.693422889297366</v>
      </c>
      <c r="H202" s="181">
        <f t="shared" si="38"/>
        <v>687064</v>
      </c>
      <c r="T202" s="181"/>
    </row>
    <row r="203" spans="1:20">
      <c r="A203" s="118" t="s">
        <v>413</v>
      </c>
      <c r="B203" s="99"/>
      <c r="C203" s="179">
        <v>6244</v>
      </c>
      <c r="D203" s="216">
        <f>+'Tariff Summary Lights'!F124</f>
        <v>14.71</v>
      </c>
      <c r="E203" s="99"/>
      <c r="F203" s="181">
        <f t="shared" si="37"/>
        <v>91849</v>
      </c>
      <c r="G203" s="216">
        <v>16.415607340455864</v>
      </c>
      <c r="H203" s="181">
        <f t="shared" si="38"/>
        <v>102499</v>
      </c>
      <c r="T203" s="181"/>
    </row>
    <row r="204" spans="1:20">
      <c r="A204" s="118" t="s">
        <v>414</v>
      </c>
      <c r="B204" s="99"/>
      <c r="C204" s="179">
        <v>13456</v>
      </c>
      <c r="D204" s="216">
        <f>+'Tariff Summary Lights'!F125</f>
        <v>16.690000000000001</v>
      </c>
      <c r="E204" s="99"/>
      <c r="F204" s="181">
        <f t="shared" si="37"/>
        <v>224581</v>
      </c>
      <c r="G204" s="216">
        <v>18.668045491843845</v>
      </c>
      <c r="H204" s="181">
        <f t="shared" si="38"/>
        <v>251197</v>
      </c>
      <c r="T204" s="181"/>
    </row>
    <row r="205" spans="1:20">
      <c r="A205" s="118" t="s">
        <v>415</v>
      </c>
      <c r="B205" s="99"/>
      <c r="C205" s="179">
        <v>1417</v>
      </c>
      <c r="D205" s="216">
        <f>+'Tariff Summary Lights'!F126</f>
        <v>18.68</v>
      </c>
      <c r="E205" s="99"/>
      <c r="F205" s="181">
        <f t="shared" si="37"/>
        <v>26470</v>
      </c>
      <c r="G205" s="216">
        <v>20.552059856818232</v>
      </c>
      <c r="H205" s="181">
        <f t="shared" si="38"/>
        <v>29122</v>
      </c>
      <c r="T205" s="181"/>
    </row>
    <row r="206" spans="1:20">
      <c r="A206" s="118" t="s">
        <v>416</v>
      </c>
      <c r="B206" s="99"/>
      <c r="C206" s="179">
        <v>588</v>
      </c>
      <c r="D206" s="216">
        <f>+'Tariff Summary Lights'!F127</f>
        <v>24.63</v>
      </c>
      <c r="E206" s="99"/>
      <c r="F206" s="181">
        <f t="shared" si="37"/>
        <v>14482</v>
      </c>
      <c r="G206" s="216">
        <v>26.848258662274326</v>
      </c>
      <c r="H206" s="181">
        <f t="shared" si="38"/>
        <v>15787</v>
      </c>
      <c r="T206" s="181"/>
    </row>
    <row r="207" spans="1:20">
      <c r="A207" s="118"/>
      <c r="B207" s="99"/>
      <c r="C207" s="179"/>
      <c r="D207" s="216"/>
      <c r="E207" s="99"/>
      <c r="F207" s="181"/>
      <c r="G207" s="216"/>
      <c r="H207" s="181"/>
      <c r="T207" s="181"/>
    </row>
    <row r="208" spans="1:20">
      <c r="A208" s="118" t="s">
        <v>417</v>
      </c>
      <c r="B208" s="99"/>
      <c r="C208" s="179">
        <v>72</v>
      </c>
      <c r="D208" s="216">
        <f>+'Tariff Summary Lights'!F129</f>
        <v>21.8</v>
      </c>
      <c r="E208" s="99"/>
      <c r="F208" s="181">
        <f>IF(D208="n/a",0,ROUND(C208*D208,0))</f>
        <v>1570</v>
      </c>
      <c r="G208" s="216">
        <v>22.112411979716097</v>
      </c>
      <c r="H208" s="181">
        <f>ROUND(G208*$C208,0)</f>
        <v>1592</v>
      </c>
      <c r="T208" s="181"/>
    </row>
    <row r="209" spans="1:20">
      <c r="A209" s="118"/>
      <c r="B209" s="99"/>
      <c r="C209" s="179"/>
      <c r="D209" s="216"/>
      <c r="E209" s="99"/>
      <c r="F209" s="181"/>
      <c r="G209" s="216"/>
      <c r="H209" s="181"/>
      <c r="T209" s="181"/>
    </row>
    <row r="210" spans="1:20">
      <c r="A210" s="189" t="s">
        <v>553</v>
      </c>
      <c r="B210" s="99"/>
      <c r="C210" s="179">
        <v>4817</v>
      </c>
      <c r="D210" s="236">
        <f>+'Tariff Summary Lights'!F131</f>
        <v>12.31</v>
      </c>
      <c r="E210" s="99"/>
      <c r="F210" s="181">
        <f t="shared" ref="F210:F218" si="39">IF(D210="n/a",0,ROUND(C210*D210,0))</f>
        <v>59297</v>
      </c>
      <c r="G210" s="216">
        <v>10.85</v>
      </c>
      <c r="H210" s="181">
        <f t="shared" ref="H210:H218" si="40">ROUND(G210*$C210,0)</f>
        <v>52264</v>
      </c>
      <c r="T210" s="181"/>
    </row>
    <row r="211" spans="1:20">
      <c r="A211" s="215" t="s">
        <v>552</v>
      </c>
      <c r="B211" s="99"/>
      <c r="C211" s="179">
        <v>0</v>
      </c>
      <c r="D211" s="236">
        <f>+'Tariff Summary Lights'!F132</f>
        <v>13.42</v>
      </c>
      <c r="E211" s="99"/>
      <c r="F211" s="181">
        <f t="shared" si="39"/>
        <v>0</v>
      </c>
      <c r="G211" s="216">
        <v>13.35</v>
      </c>
      <c r="H211" s="181">
        <f t="shared" si="40"/>
        <v>0</v>
      </c>
      <c r="T211" s="181"/>
    </row>
    <row r="212" spans="1:20">
      <c r="A212" s="215" t="s">
        <v>545</v>
      </c>
      <c r="B212" s="99"/>
      <c r="C212" s="179">
        <v>1266</v>
      </c>
      <c r="D212" s="236">
        <f>+'Tariff Summary Lights'!F133</f>
        <v>14.54</v>
      </c>
      <c r="E212" s="99"/>
      <c r="F212" s="181">
        <f t="shared" si="39"/>
        <v>18408</v>
      </c>
      <c r="G212" s="216">
        <v>15.84</v>
      </c>
      <c r="H212" s="181">
        <f t="shared" si="40"/>
        <v>20053</v>
      </c>
      <c r="T212" s="181"/>
    </row>
    <row r="213" spans="1:20">
      <c r="A213" s="215" t="s">
        <v>546</v>
      </c>
      <c r="B213" s="99"/>
      <c r="C213" s="179">
        <v>0</v>
      </c>
      <c r="D213" s="236">
        <f>+'Tariff Summary Lights'!F134</f>
        <v>15.66</v>
      </c>
      <c r="E213" s="99"/>
      <c r="F213" s="181">
        <f t="shared" si="39"/>
        <v>0</v>
      </c>
      <c r="G213" s="216">
        <v>17.22</v>
      </c>
      <c r="H213" s="181">
        <f t="shared" si="40"/>
        <v>0</v>
      </c>
      <c r="T213" s="181"/>
    </row>
    <row r="214" spans="1:20">
      <c r="A214" s="215" t="s">
        <v>547</v>
      </c>
      <c r="B214" s="99"/>
      <c r="C214" s="179">
        <v>0</v>
      </c>
      <c r="D214" s="236">
        <f>+'Tariff Summary Lights'!F135</f>
        <v>16.77</v>
      </c>
      <c r="E214" s="99"/>
      <c r="F214" s="181">
        <f t="shared" si="39"/>
        <v>0</v>
      </c>
      <c r="G214" s="216">
        <v>19.71</v>
      </c>
      <c r="H214" s="181">
        <f t="shared" si="40"/>
        <v>0</v>
      </c>
      <c r="T214" s="181"/>
    </row>
    <row r="215" spans="1:20">
      <c r="A215" s="215" t="s">
        <v>548</v>
      </c>
      <c r="B215" s="99"/>
      <c r="C215" s="179">
        <v>0</v>
      </c>
      <c r="D215" s="236">
        <f>+'Tariff Summary Lights'!F136</f>
        <v>17.89</v>
      </c>
      <c r="E215" s="99"/>
      <c r="F215" s="181">
        <f t="shared" si="39"/>
        <v>0</v>
      </c>
      <c r="G215" s="216">
        <v>21.87</v>
      </c>
      <c r="H215" s="181">
        <f t="shared" si="40"/>
        <v>0</v>
      </c>
      <c r="T215" s="181"/>
    </row>
    <row r="216" spans="1:20">
      <c r="A216" s="215" t="s">
        <v>549</v>
      </c>
      <c r="B216" s="99"/>
      <c r="C216" s="179">
        <v>0</v>
      </c>
      <c r="D216" s="236">
        <f>+'Tariff Summary Lights'!F137</f>
        <v>19</v>
      </c>
      <c r="E216" s="99"/>
      <c r="F216" s="181">
        <f t="shared" si="39"/>
        <v>0</v>
      </c>
      <c r="G216" s="216">
        <v>24.03</v>
      </c>
      <c r="H216" s="181">
        <f t="shared" si="40"/>
        <v>0</v>
      </c>
      <c r="T216" s="181"/>
    </row>
    <row r="217" spans="1:20">
      <c r="A217" s="215" t="s">
        <v>550</v>
      </c>
      <c r="B217" s="99"/>
      <c r="C217" s="179">
        <v>0</v>
      </c>
      <c r="D217" s="236">
        <f>+'Tariff Summary Lights'!F138</f>
        <v>20.12</v>
      </c>
      <c r="E217" s="99"/>
      <c r="F217" s="181">
        <f t="shared" si="39"/>
        <v>0</v>
      </c>
      <c r="G217" s="216">
        <v>26.19</v>
      </c>
      <c r="H217" s="181">
        <f t="shared" si="40"/>
        <v>0</v>
      </c>
      <c r="T217" s="181"/>
    </row>
    <row r="218" spans="1:20">
      <c r="A218" s="215" t="s">
        <v>551</v>
      </c>
      <c r="B218" s="99"/>
      <c r="C218" s="179">
        <v>0</v>
      </c>
      <c r="D218" s="236">
        <f>+'Tariff Summary Lights'!F139</f>
        <v>21.24</v>
      </c>
      <c r="E218" s="99"/>
      <c r="F218" s="181">
        <f t="shared" si="39"/>
        <v>0</v>
      </c>
      <c r="G218" s="216">
        <v>28.35</v>
      </c>
      <c r="H218" s="181">
        <f t="shared" si="40"/>
        <v>0</v>
      </c>
      <c r="T218" s="181"/>
    </row>
    <row r="219" spans="1:20">
      <c r="A219" s="118"/>
      <c r="B219" s="99"/>
      <c r="C219" s="179"/>
      <c r="D219" s="216"/>
      <c r="E219" s="99"/>
      <c r="F219" s="181"/>
      <c r="G219" s="216"/>
      <c r="H219" s="181"/>
      <c r="T219" s="181"/>
    </row>
    <row r="220" spans="1:20">
      <c r="A220" s="118" t="s">
        <v>418</v>
      </c>
      <c r="B220" s="99"/>
      <c r="C220" s="179">
        <v>7749</v>
      </c>
      <c r="D220" s="216">
        <f>+'Tariff Summary Lights'!F141</f>
        <v>5.93</v>
      </c>
      <c r="E220" s="99"/>
      <c r="F220" s="181">
        <f t="shared" ref="F220:F221" si="41">IF(D220="n/a",0,ROUND(C220*D220,0))</f>
        <v>45952</v>
      </c>
      <c r="G220" s="216">
        <v>6.58</v>
      </c>
      <c r="H220" s="181">
        <f t="shared" ref="H220:H221" si="42">ROUND(G220*$C220,0)</f>
        <v>50988</v>
      </c>
      <c r="T220" s="181"/>
    </row>
    <row r="221" spans="1:20">
      <c r="A221" s="118" t="s">
        <v>419</v>
      </c>
      <c r="B221" s="99"/>
      <c r="C221" s="179">
        <v>4048</v>
      </c>
      <c r="D221" s="216">
        <f>+'Tariff Summary Lights'!F142</f>
        <v>9.75</v>
      </c>
      <c r="E221" s="99"/>
      <c r="F221" s="181">
        <f t="shared" si="41"/>
        <v>39468</v>
      </c>
      <c r="G221" s="216">
        <v>11.49</v>
      </c>
      <c r="H221" s="181">
        <f t="shared" si="42"/>
        <v>46512</v>
      </c>
      <c r="T221" s="181"/>
    </row>
    <row r="222" spans="1:20">
      <c r="A222" s="218" t="s">
        <v>34</v>
      </c>
      <c r="C222" s="219">
        <f>SUM(C201:C221)</f>
        <v>86630</v>
      </c>
      <c r="D222" s="176"/>
      <c r="F222" s="220">
        <f>SUM(F201:F221)</f>
        <v>1119320</v>
      </c>
      <c r="G222" s="176"/>
      <c r="H222" s="220">
        <f>SUM(H201:H221)</f>
        <v>1260113</v>
      </c>
      <c r="T222" s="220"/>
    </row>
    <row r="223" spans="1:20">
      <c r="A223" s="218"/>
      <c r="C223" s="207"/>
      <c r="D223" s="176"/>
      <c r="F223" s="54"/>
      <c r="G223" s="176"/>
      <c r="H223" s="54"/>
    </row>
    <row r="224" spans="1:20">
      <c r="A224" s="230" t="s">
        <v>139</v>
      </c>
      <c r="B224" s="99"/>
      <c r="C224" s="185">
        <v>19938</v>
      </c>
      <c r="E224" s="180"/>
      <c r="F224" s="181"/>
      <c r="H224" s="181"/>
    </row>
    <row r="225" spans="1:20">
      <c r="A225" s="230"/>
      <c r="B225" s="99"/>
      <c r="C225" s="209"/>
      <c r="E225" s="180"/>
      <c r="F225" s="181"/>
      <c r="H225" s="181"/>
    </row>
    <row r="226" spans="1:20">
      <c r="A226" s="177" t="s">
        <v>349</v>
      </c>
      <c r="C226" s="185">
        <v>3725069.7449999996</v>
      </c>
      <c r="E226" s="180"/>
      <c r="F226" s="181"/>
      <c r="H226" s="181"/>
    </row>
    <row r="227" spans="1:20">
      <c r="A227" s="177" t="s">
        <v>350</v>
      </c>
      <c r="C227" s="185">
        <v>-2997.1169999999838</v>
      </c>
      <c r="D227" s="221">
        <f>ROUND(F227/C227,6)</f>
        <v>0.23522599999999999</v>
      </c>
      <c r="E227" s="183"/>
      <c r="F227" s="181">
        <f>$P$18</f>
        <v>-705</v>
      </c>
      <c r="G227" s="221">
        <f>ROUND(H227/C227,6)</f>
        <v>0.257581</v>
      </c>
      <c r="H227" s="181">
        <f>ROUND(+F227*(1+J227),0)</f>
        <v>-772</v>
      </c>
      <c r="I227" s="183"/>
      <c r="J227" s="98">
        <f>+$J$45</f>
        <v>9.457260029107821E-2</v>
      </c>
      <c r="K227" s="329" t="s">
        <v>351</v>
      </c>
      <c r="L227" s="329"/>
      <c r="M227" s="222"/>
      <c r="N227" s="222"/>
      <c r="O227" s="222"/>
      <c r="P227" s="222"/>
      <c r="Q227" s="222"/>
      <c r="R227" s="222"/>
      <c r="S227" s="222"/>
      <c r="T227" s="222"/>
    </row>
    <row r="228" spans="1:20" ht="16.5" thickBot="1">
      <c r="A228" s="223" t="s">
        <v>35</v>
      </c>
      <c r="B228" s="99"/>
      <c r="C228" s="224">
        <f>SUM(C226:C227)</f>
        <v>3722072.6279999996</v>
      </c>
      <c r="D228" s="100"/>
      <c r="F228" s="225">
        <f>SUM(F222,F227)</f>
        <v>1118615</v>
      </c>
      <c r="G228" s="100"/>
      <c r="H228" s="225">
        <f>SUM(H222,H227)</f>
        <v>1259341</v>
      </c>
    </row>
    <row r="229" spans="1:20" ht="16.5" thickTop="1">
      <c r="A229" s="99"/>
      <c r="B229" s="99"/>
      <c r="C229" s="109"/>
      <c r="D229" s="234" t="s">
        <v>0</v>
      </c>
      <c r="E229" s="235"/>
      <c r="F229" s="100"/>
      <c r="G229" s="234" t="s">
        <v>0</v>
      </c>
      <c r="H229" s="100" t="s">
        <v>0</v>
      </c>
    </row>
    <row r="230" spans="1:20">
      <c r="C230" s="109"/>
      <c r="D230" s="20"/>
      <c r="E230" s="20"/>
      <c r="F230" s="186"/>
      <c r="H230" s="185"/>
    </row>
    <row r="231" spans="1:20">
      <c r="A231" s="349" t="s">
        <v>157</v>
      </c>
      <c r="B231" s="349"/>
      <c r="C231" s="349"/>
      <c r="D231" s="349"/>
      <c r="E231" s="349"/>
      <c r="F231" s="349"/>
      <c r="G231" s="349"/>
      <c r="H231" s="349"/>
    </row>
    <row r="232" spans="1:20">
      <c r="A232" s="230" t="s">
        <v>420</v>
      </c>
      <c r="B232" s="99"/>
      <c r="C232" s="99"/>
      <c r="D232" s="99"/>
      <c r="E232" s="99"/>
      <c r="F232" s="99"/>
      <c r="G232" s="99"/>
      <c r="H232" s="99"/>
    </row>
    <row r="233" spans="1:20">
      <c r="A233" s="99"/>
      <c r="B233" s="99"/>
      <c r="C233" s="99"/>
      <c r="D233" s="232"/>
      <c r="E233" s="99"/>
      <c r="F233" s="99"/>
      <c r="G233" s="232"/>
      <c r="H233" s="99"/>
    </row>
    <row r="234" spans="1:20">
      <c r="A234" s="118" t="s">
        <v>421</v>
      </c>
      <c r="B234" s="99"/>
      <c r="C234" s="185">
        <v>13087678</v>
      </c>
      <c r="D234" s="186">
        <f>+'Tariff Summary Lights'!F144</f>
        <v>3.9269999999999999E-2</v>
      </c>
      <c r="E234" s="99"/>
      <c r="F234" s="181">
        <f>IF(D234="n/a",0,ROUND(C234*D234,0))</f>
        <v>513953</v>
      </c>
      <c r="G234" s="186">
        <v>4.7879999999999999E-2</v>
      </c>
      <c r="H234" s="181">
        <f>ROUND(G234*$C234,0)</f>
        <v>626638</v>
      </c>
      <c r="T234" s="175"/>
    </row>
    <row r="235" spans="1:20">
      <c r="A235" s="218" t="s">
        <v>34</v>
      </c>
      <c r="C235" s="228">
        <f>SUM(C234:C234)</f>
        <v>13087678</v>
      </c>
      <c r="D235" s="176"/>
      <c r="F235" s="220">
        <f>SUM(F234:F234)</f>
        <v>513953</v>
      </c>
      <c r="G235" s="176"/>
      <c r="H235" s="220">
        <f>SUM(H234:H234)</f>
        <v>626638</v>
      </c>
      <c r="T235" s="220"/>
    </row>
    <row r="236" spans="1:20">
      <c r="A236" s="218"/>
      <c r="C236" s="20"/>
      <c r="D236" s="176"/>
      <c r="F236" s="54"/>
      <c r="G236" s="176"/>
      <c r="H236" s="54"/>
    </row>
    <row r="237" spans="1:20">
      <c r="A237" s="230" t="s">
        <v>139</v>
      </c>
      <c r="B237" s="99"/>
      <c r="C237" s="185">
        <v>1276</v>
      </c>
      <c r="E237" s="180"/>
      <c r="F237" s="181"/>
      <c r="H237" s="181"/>
    </row>
    <row r="238" spans="1:20">
      <c r="A238" s="230"/>
      <c r="B238" s="99"/>
      <c r="C238" s="209"/>
      <c r="E238" s="180"/>
      <c r="F238" s="181"/>
      <c r="H238" s="181"/>
    </row>
    <row r="239" spans="1:20">
      <c r="A239" s="177" t="s">
        <v>349</v>
      </c>
      <c r="C239" s="185">
        <v>3966530.89</v>
      </c>
      <c r="E239" s="180"/>
      <c r="F239" s="181"/>
      <c r="H239" s="181"/>
    </row>
    <row r="240" spans="1:20">
      <c r="A240" s="177" t="s">
        <v>350</v>
      </c>
      <c r="C240" s="185">
        <v>-71497.635000000009</v>
      </c>
      <c r="D240" s="221">
        <f>ROUND(F240/C240,6)</f>
        <v>0.235211</v>
      </c>
      <c r="E240" s="183"/>
      <c r="F240" s="181">
        <f>$P$19</f>
        <v>-16817</v>
      </c>
      <c r="G240" s="221">
        <f>ROUND(H240/C240,6)</f>
        <v>0.25744899999999998</v>
      </c>
      <c r="H240" s="181">
        <f>ROUND(+F240*(1+J240),0)</f>
        <v>-18407</v>
      </c>
      <c r="I240" s="183"/>
      <c r="J240" s="98">
        <f>+$J$45</f>
        <v>9.457260029107821E-2</v>
      </c>
      <c r="K240" s="329" t="s">
        <v>351</v>
      </c>
      <c r="L240" s="329"/>
      <c r="M240" s="222"/>
      <c r="N240" s="222"/>
      <c r="O240" s="222"/>
      <c r="P240" s="222"/>
      <c r="Q240" s="222"/>
      <c r="R240" s="222"/>
      <c r="S240" s="222"/>
      <c r="T240" s="222"/>
    </row>
    <row r="241" spans="1:20" ht="16.5" thickBot="1">
      <c r="A241" s="223" t="s">
        <v>35</v>
      </c>
      <c r="B241" s="99"/>
      <c r="C241" s="231">
        <f>SUM(C239:C240)</f>
        <v>3895033.2549999999</v>
      </c>
      <c r="D241" s="100"/>
      <c r="F241" s="225">
        <f>SUM(F235,F240)</f>
        <v>497136</v>
      </c>
      <c r="G241" s="100"/>
      <c r="H241" s="225">
        <f>SUM(H235,H240)</f>
        <v>608231</v>
      </c>
    </row>
    <row r="242" spans="1:20" ht="16.5" thickTop="1">
      <c r="A242" s="99"/>
      <c r="B242" s="99"/>
      <c r="C242" s="109"/>
      <c r="D242" s="234" t="s">
        <v>0</v>
      </c>
      <c r="E242" s="235"/>
      <c r="F242" s="100"/>
      <c r="G242" s="234" t="s">
        <v>0</v>
      </c>
      <c r="H242" s="100" t="s">
        <v>0</v>
      </c>
    </row>
    <row r="243" spans="1:20">
      <c r="C243" s="109"/>
      <c r="D243" s="20"/>
      <c r="E243" s="20"/>
      <c r="F243" s="186"/>
      <c r="H243" s="185"/>
    </row>
    <row r="244" spans="1:20">
      <c r="A244" s="349" t="s">
        <v>159</v>
      </c>
      <c r="B244" s="349"/>
      <c r="C244" s="349"/>
      <c r="D244" s="349"/>
      <c r="E244" s="349"/>
      <c r="F244" s="349"/>
      <c r="G244" s="349"/>
      <c r="H244" s="349"/>
    </row>
    <row r="245" spans="1:20">
      <c r="A245" s="230" t="s">
        <v>422</v>
      </c>
      <c r="B245" s="99"/>
      <c r="C245" s="99"/>
      <c r="D245" s="99"/>
      <c r="E245" s="99"/>
      <c r="F245" s="99"/>
      <c r="G245" s="99"/>
      <c r="H245" s="99"/>
    </row>
    <row r="246" spans="1:20">
      <c r="A246" s="99"/>
      <c r="B246" s="99"/>
      <c r="C246" s="99"/>
      <c r="D246" s="232"/>
      <c r="E246" s="99"/>
      <c r="F246" s="99"/>
      <c r="G246" s="232"/>
      <c r="H246" s="99"/>
    </row>
    <row r="247" spans="1:20">
      <c r="A247" s="118" t="s">
        <v>423</v>
      </c>
      <c r="B247" s="99"/>
      <c r="C247" s="179">
        <v>686</v>
      </c>
      <c r="D247" s="216">
        <f>+'Tariff Summary Lights'!F146</f>
        <v>11.53</v>
      </c>
      <c r="E247" s="99"/>
      <c r="F247" s="181">
        <f t="shared" ref="F247:F252" si="43">IF(D247="n/a",0,ROUND(C247*D247,0))</f>
        <v>7910</v>
      </c>
      <c r="G247" s="216">
        <v>14.25</v>
      </c>
      <c r="H247" s="181">
        <f t="shared" ref="H247:H252" si="44">ROUND(G247*$C247,0)</f>
        <v>9776</v>
      </c>
      <c r="L247" s="182"/>
      <c r="T247" s="181"/>
    </row>
    <row r="248" spans="1:20">
      <c r="A248" s="118" t="s">
        <v>424</v>
      </c>
      <c r="B248" s="99"/>
      <c r="C248" s="179">
        <v>89</v>
      </c>
      <c r="D248" s="216">
        <f>+'Tariff Summary Lights'!F147</f>
        <v>12.72</v>
      </c>
      <c r="E248" s="99"/>
      <c r="F248" s="181">
        <f t="shared" si="43"/>
        <v>1132</v>
      </c>
      <c r="G248" s="216">
        <v>14.69</v>
      </c>
      <c r="H248" s="181">
        <f t="shared" si="44"/>
        <v>1307</v>
      </c>
      <c r="L248" s="182"/>
      <c r="T248" s="181"/>
    </row>
    <row r="249" spans="1:20">
      <c r="A249" s="118" t="s">
        <v>425</v>
      </c>
      <c r="B249" s="99"/>
      <c r="C249" s="179">
        <v>1994</v>
      </c>
      <c r="D249" s="216">
        <f>+'Tariff Summary Lights'!F148</f>
        <v>14.71</v>
      </c>
      <c r="E249" s="99"/>
      <c r="F249" s="181">
        <f t="shared" si="43"/>
        <v>29332</v>
      </c>
      <c r="G249" s="216">
        <v>16.420000000000002</v>
      </c>
      <c r="H249" s="181">
        <f t="shared" si="44"/>
        <v>32741</v>
      </c>
      <c r="L249" s="182"/>
      <c r="T249" s="181"/>
    </row>
    <row r="250" spans="1:20">
      <c r="A250" s="118" t="s">
        <v>426</v>
      </c>
      <c r="B250" s="99"/>
      <c r="C250" s="179">
        <v>3425</v>
      </c>
      <c r="D250" s="216">
        <f>+'Tariff Summary Lights'!F149</f>
        <v>16.690000000000001</v>
      </c>
      <c r="E250" s="99"/>
      <c r="F250" s="181">
        <f t="shared" si="43"/>
        <v>57163</v>
      </c>
      <c r="G250" s="216">
        <v>18.670000000000002</v>
      </c>
      <c r="H250" s="181">
        <f t="shared" si="44"/>
        <v>63945</v>
      </c>
      <c r="L250" s="182"/>
      <c r="T250" s="181"/>
    </row>
    <row r="251" spans="1:20">
      <c r="A251" s="118" t="s">
        <v>427</v>
      </c>
      <c r="B251" s="99"/>
      <c r="C251" s="179">
        <v>469</v>
      </c>
      <c r="D251" s="216">
        <f>+'Tariff Summary Lights'!F150</f>
        <v>18.68</v>
      </c>
      <c r="E251" s="99"/>
      <c r="F251" s="181">
        <f t="shared" si="43"/>
        <v>8761</v>
      </c>
      <c r="G251" s="216">
        <v>20.55</v>
      </c>
      <c r="H251" s="181">
        <f t="shared" si="44"/>
        <v>9638</v>
      </c>
      <c r="L251" s="182"/>
      <c r="T251" s="181"/>
    </row>
    <row r="252" spans="1:20">
      <c r="A252" s="118" t="s">
        <v>428</v>
      </c>
      <c r="B252" s="99"/>
      <c r="C252" s="179">
        <v>4548</v>
      </c>
      <c r="D252" s="216">
        <f>+'Tariff Summary Lights'!F151</f>
        <v>24.63</v>
      </c>
      <c r="E252" s="99"/>
      <c r="F252" s="181">
        <f t="shared" si="43"/>
        <v>112017</v>
      </c>
      <c r="G252" s="216">
        <v>26.85</v>
      </c>
      <c r="H252" s="181">
        <f t="shared" si="44"/>
        <v>122114</v>
      </c>
      <c r="J252" s="182"/>
      <c r="K252" s="216"/>
      <c r="L252" s="182"/>
      <c r="T252" s="181"/>
    </row>
    <row r="253" spans="1:20">
      <c r="A253" s="118"/>
      <c r="B253" s="99"/>
      <c r="C253" s="185"/>
      <c r="D253" s="216"/>
      <c r="E253" s="99"/>
      <c r="F253" s="181"/>
      <c r="G253" s="216"/>
      <c r="H253" s="181"/>
      <c r="J253" s="182"/>
      <c r="K253" s="182"/>
      <c r="L253" s="182"/>
      <c r="T253" s="181"/>
    </row>
    <row r="254" spans="1:20">
      <c r="A254" s="118" t="s">
        <v>429</v>
      </c>
      <c r="B254" s="99"/>
      <c r="C254" s="179">
        <v>36</v>
      </c>
      <c r="D254" s="216">
        <f>+'Tariff Summary Lights'!F153</f>
        <v>18.64</v>
      </c>
      <c r="E254" s="99"/>
      <c r="F254" s="181">
        <f t="shared" ref="F254:F257" si="45">IF(D254="n/a",0,ROUND(C254*D254,0))</f>
        <v>671</v>
      </c>
      <c r="G254" s="216">
        <v>18.84</v>
      </c>
      <c r="H254" s="181">
        <f t="shared" ref="H254:H257" si="46">ROUND(G254*$C254,0)</f>
        <v>678</v>
      </c>
      <c r="J254" s="182"/>
      <c r="K254" s="182"/>
      <c r="L254" s="182"/>
      <c r="T254" s="181"/>
    </row>
    <row r="255" spans="1:20">
      <c r="A255" s="118" t="s">
        <v>430</v>
      </c>
      <c r="B255" s="99"/>
      <c r="C255" s="179">
        <v>271</v>
      </c>
      <c r="D255" s="216">
        <f>+'Tariff Summary Lights'!F154</f>
        <v>21.8</v>
      </c>
      <c r="E255" s="99"/>
      <c r="F255" s="181">
        <f t="shared" si="45"/>
        <v>5908</v>
      </c>
      <c r="G255" s="216">
        <v>22.11</v>
      </c>
      <c r="H255" s="181">
        <f t="shared" si="46"/>
        <v>5992</v>
      </c>
      <c r="J255" s="182"/>
      <c r="K255" s="182"/>
      <c r="L255" s="182"/>
      <c r="T255" s="181"/>
    </row>
    <row r="256" spans="1:20">
      <c r="A256" s="118" t="s">
        <v>431</v>
      </c>
      <c r="B256" s="99"/>
      <c r="C256" s="179">
        <v>1052</v>
      </c>
      <c r="D256" s="216">
        <f>+'Tariff Summary Lights'!F155</f>
        <v>28.12</v>
      </c>
      <c r="E256" s="99"/>
      <c r="F256" s="181">
        <f t="shared" si="45"/>
        <v>29582</v>
      </c>
      <c r="G256" s="216">
        <v>27.27</v>
      </c>
      <c r="H256" s="181">
        <f t="shared" si="46"/>
        <v>28688</v>
      </c>
      <c r="J256" s="182"/>
      <c r="K256" s="182"/>
      <c r="L256" s="182"/>
      <c r="T256" s="181"/>
    </row>
    <row r="257" spans="1:20">
      <c r="A257" s="118" t="s">
        <v>432</v>
      </c>
      <c r="B257" s="99"/>
      <c r="C257" s="179">
        <v>1612</v>
      </c>
      <c r="D257" s="216">
        <f>+'Tariff Summary Lights'!F156</f>
        <v>53.4</v>
      </c>
      <c r="E257" s="99"/>
      <c r="F257" s="181">
        <f t="shared" si="45"/>
        <v>86081</v>
      </c>
      <c r="G257" s="216">
        <v>51.32</v>
      </c>
      <c r="H257" s="181">
        <f t="shared" si="46"/>
        <v>82728</v>
      </c>
      <c r="J257" s="182"/>
      <c r="K257" s="216"/>
      <c r="L257" s="182"/>
      <c r="T257" s="181"/>
    </row>
    <row r="258" spans="1:20">
      <c r="A258" s="118"/>
      <c r="B258" s="99"/>
      <c r="C258" s="185"/>
      <c r="D258" s="216"/>
      <c r="E258" s="99"/>
      <c r="F258" s="181"/>
      <c r="G258" s="216"/>
      <c r="H258" s="181"/>
      <c r="J258" s="182"/>
      <c r="K258" s="182"/>
      <c r="L258" s="182"/>
      <c r="T258" s="181"/>
    </row>
    <row r="259" spans="1:20">
      <c r="A259" s="118" t="s">
        <v>433</v>
      </c>
      <c r="B259" s="99"/>
      <c r="C259" s="179">
        <v>13</v>
      </c>
      <c r="D259" s="216">
        <f>+'Tariff Summary Lights'!F158</f>
        <v>12.72</v>
      </c>
      <c r="E259" s="99"/>
      <c r="F259" s="181">
        <f t="shared" ref="F259:F263" si="47">IF(D259="n/a",0,ROUND(C259*D259,0))</f>
        <v>165</v>
      </c>
      <c r="G259" s="216">
        <v>14.69</v>
      </c>
      <c r="H259" s="181">
        <f t="shared" ref="H259:H263" si="48">ROUND(G259*$C259,0)</f>
        <v>191</v>
      </c>
      <c r="J259" s="182"/>
      <c r="K259" s="182"/>
      <c r="L259" s="182"/>
      <c r="T259" s="181"/>
    </row>
    <row r="260" spans="1:20">
      <c r="A260" s="118" t="s">
        <v>434</v>
      </c>
      <c r="B260" s="99"/>
      <c r="C260" s="179">
        <v>240</v>
      </c>
      <c r="D260" s="216">
        <f>+'Tariff Summary Lights'!F159</f>
        <v>14.71</v>
      </c>
      <c r="E260" s="99"/>
      <c r="F260" s="181">
        <f t="shared" si="47"/>
        <v>3530</v>
      </c>
      <c r="G260" s="216">
        <v>16.420000000000002</v>
      </c>
      <c r="H260" s="181">
        <f t="shared" si="48"/>
        <v>3941</v>
      </c>
      <c r="J260" s="182"/>
      <c r="K260" s="182"/>
      <c r="L260" s="182"/>
      <c r="T260" s="181"/>
    </row>
    <row r="261" spans="1:20">
      <c r="A261" s="118" t="s">
        <v>435</v>
      </c>
      <c r="B261" s="99"/>
      <c r="C261" s="179">
        <v>156</v>
      </c>
      <c r="D261" s="216">
        <f>+'Tariff Summary Lights'!F160</f>
        <v>16.690000000000001</v>
      </c>
      <c r="E261" s="99"/>
      <c r="F261" s="181">
        <f t="shared" si="47"/>
        <v>2604</v>
      </c>
      <c r="G261" s="216">
        <v>18.670000000000002</v>
      </c>
      <c r="H261" s="181">
        <f t="shared" si="48"/>
        <v>2913</v>
      </c>
      <c r="J261" s="182"/>
      <c r="K261" s="182"/>
      <c r="L261" s="182"/>
      <c r="T261" s="181"/>
    </row>
    <row r="262" spans="1:20">
      <c r="A262" s="118" t="s">
        <v>436</v>
      </c>
      <c r="B262" s="99"/>
      <c r="C262" s="179">
        <v>420</v>
      </c>
      <c r="D262" s="216">
        <f>+'Tariff Summary Lights'!F161</f>
        <v>18.68</v>
      </c>
      <c r="E262" s="99"/>
      <c r="F262" s="181">
        <f t="shared" si="47"/>
        <v>7846</v>
      </c>
      <c r="G262" s="216">
        <v>20.55</v>
      </c>
      <c r="H262" s="181">
        <f t="shared" si="48"/>
        <v>8631</v>
      </c>
      <c r="J262" s="182"/>
      <c r="K262" s="182"/>
      <c r="L262" s="182"/>
      <c r="T262" s="181"/>
    </row>
    <row r="263" spans="1:20">
      <c r="A263" s="118" t="s">
        <v>437</v>
      </c>
      <c r="B263" s="99"/>
      <c r="C263" s="179">
        <v>574</v>
      </c>
      <c r="D263" s="216">
        <f>+'Tariff Summary Lights'!F162</f>
        <v>24.63</v>
      </c>
      <c r="E263" s="99"/>
      <c r="F263" s="181">
        <f t="shared" si="47"/>
        <v>14138</v>
      </c>
      <c r="G263" s="216">
        <v>26.85</v>
      </c>
      <c r="H263" s="181">
        <f t="shared" si="48"/>
        <v>15412</v>
      </c>
      <c r="J263" s="182"/>
      <c r="K263" s="216"/>
      <c r="L263" s="182"/>
      <c r="T263" s="181"/>
    </row>
    <row r="264" spans="1:20">
      <c r="A264" s="118"/>
      <c r="B264" s="99"/>
      <c r="C264" s="185"/>
      <c r="D264" s="216"/>
      <c r="E264" s="99"/>
      <c r="F264" s="181"/>
      <c r="G264" s="216"/>
      <c r="H264" s="181"/>
      <c r="J264" s="182"/>
      <c r="K264" s="182"/>
      <c r="L264" s="182"/>
      <c r="T264" s="181"/>
    </row>
    <row r="265" spans="1:20">
      <c r="A265" s="118" t="s">
        <v>438</v>
      </c>
      <c r="B265" s="99"/>
      <c r="C265" s="179">
        <v>132</v>
      </c>
      <c r="D265" s="216">
        <f>+'Tariff Summary Lights'!F164</f>
        <v>21.8</v>
      </c>
      <c r="E265" s="99"/>
      <c r="F265" s="181">
        <f t="shared" ref="F265:F266" si="49">IF(D265="n/a",0,ROUND(C265*D265,0))</f>
        <v>2878</v>
      </c>
      <c r="G265" s="216">
        <v>22.11</v>
      </c>
      <c r="H265" s="181">
        <f t="shared" ref="H265:H266" si="50">ROUND(G265*$C265,0)</f>
        <v>2919</v>
      </c>
      <c r="J265" s="182"/>
      <c r="K265" s="182"/>
      <c r="L265" s="182"/>
      <c r="T265" s="181"/>
    </row>
    <row r="266" spans="1:20">
      <c r="A266" s="118" t="s">
        <v>439</v>
      </c>
      <c r="B266" s="99"/>
      <c r="C266" s="179">
        <v>486</v>
      </c>
      <c r="D266" s="216">
        <f>+'Tariff Summary Lights'!F165</f>
        <v>28.12</v>
      </c>
      <c r="E266" s="99"/>
      <c r="F266" s="181">
        <f t="shared" si="49"/>
        <v>13666</v>
      </c>
      <c r="G266" s="216">
        <v>27.27</v>
      </c>
      <c r="H266" s="181">
        <f t="shared" si="50"/>
        <v>13253</v>
      </c>
      <c r="J266" s="182"/>
      <c r="K266" s="216"/>
      <c r="L266" s="182"/>
      <c r="T266" s="181"/>
    </row>
    <row r="267" spans="1:20">
      <c r="A267" s="118"/>
      <c r="B267" s="99"/>
      <c r="C267" s="185"/>
      <c r="D267" s="216"/>
      <c r="E267" s="99"/>
      <c r="F267" s="181"/>
      <c r="G267" s="216"/>
      <c r="H267" s="181"/>
      <c r="L267" s="182"/>
      <c r="T267" s="181"/>
    </row>
    <row r="268" spans="1:20">
      <c r="A268" s="189" t="s">
        <v>562</v>
      </c>
      <c r="B268" s="99"/>
      <c r="C268" s="179">
        <v>20</v>
      </c>
      <c r="D268" s="236">
        <f>+'Tariff Summary Lights'!F167</f>
        <v>12.31</v>
      </c>
      <c r="E268" s="99"/>
      <c r="F268" s="181">
        <f t="shared" ref="F268:F284" si="51">IF(D268="n/a",0,ROUND(C268*D268,0))</f>
        <v>246</v>
      </c>
      <c r="G268" s="216">
        <v>12.75</v>
      </c>
      <c r="H268" s="181">
        <f t="shared" ref="H268:H282" si="52">ROUND(G268*$C268,0)</f>
        <v>255</v>
      </c>
      <c r="L268" s="182"/>
      <c r="T268" s="181"/>
    </row>
    <row r="269" spans="1:20">
      <c r="A269" s="215" t="s">
        <v>561</v>
      </c>
      <c r="B269" s="99"/>
      <c r="C269" s="179">
        <v>198</v>
      </c>
      <c r="D269" s="236">
        <f>+'Tariff Summary Lights'!F168</f>
        <v>13.42</v>
      </c>
      <c r="E269" s="99"/>
      <c r="F269" s="181">
        <f t="shared" si="51"/>
        <v>2657</v>
      </c>
      <c r="G269" s="216">
        <v>14.72</v>
      </c>
      <c r="H269" s="181">
        <f t="shared" si="52"/>
        <v>2915</v>
      </c>
      <c r="L269" s="182"/>
      <c r="T269" s="181"/>
    </row>
    <row r="270" spans="1:20">
      <c r="A270" s="215" t="s">
        <v>554</v>
      </c>
      <c r="B270" s="99"/>
      <c r="C270" s="179">
        <v>252</v>
      </c>
      <c r="D270" s="236">
        <f>+'Tariff Summary Lights'!F169</f>
        <v>14.54</v>
      </c>
      <c r="E270" s="99"/>
      <c r="F270" s="181">
        <f t="shared" si="51"/>
        <v>3664</v>
      </c>
      <c r="G270" s="216">
        <v>16.690000000000001</v>
      </c>
      <c r="H270" s="181">
        <f t="shared" si="52"/>
        <v>4206</v>
      </c>
      <c r="L270" s="182"/>
      <c r="T270" s="181"/>
    </row>
    <row r="271" spans="1:20">
      <c r="A271" s="215" t="s">
        <v>555</v>
      </c>
      <c r="B271" s="99"/>
      <c r="C271" s="179">
        <v>716</v>
      </c>
      <c r="D271" s="236">
        <f>+'Tariff Summary Lights'!F170</f>
        <v>15.66</v>
      </c>
      <c r="E271" s="99"/>
      <c r="F271" s="181">
        <f t="shared" si="51"/>
        <v>11213</v>
      </c>
      <c r="G271" s="216">
        <v>18.66</v>
      </c>
      <c r="H271" s="181">
        <f t="shared" si="52"/>
        <v>13361</v>
      </c>
      <c r="L271" s="182"/>
      <c r="T271" s="181"/>
    </row>
    <row r="272" spans="1:20">
      <c r="A272" s="215" t="s">
        <v>556</v>
      </c>
      <c r="C272" s="179">
        <v>59</v>
      </c>
      <c r="D272" s="236">
        <f>+'Tariff Summary Lights'!F171</f>
        <v>16.77</v>
      </c>
      <c r="E272" s="99"/>
      <c r="F272" s="181">
        <f t="shared" si="51"/>
        <v>989</v>
      </c>
      <c r="G272" s="216">
        <v>20.63</v>
      </c>
      <c r="H272" s="181">
        <f t="shared" si="52"/>
        <v>1217</v>
      </c>
      <c r="L272" s="182"/>
      <c r="T272" s="181"/>
    </row>
    <row r="273" spans="1:20">
      <c r="A273" s="215" t="s">
        <v>557</v>
      </c>
      <c r="C273" s="179">
        <v>0</v>
      </c>
      <c r="D273" s="236">
        <f>+'Tariff Summary Lights'!F172</f>
        <v>17.89</v>
      </c>
      <c r="E273" s="99"/>
      <c r="F273" s="181">
        <f t="shared" si="51"/>
        <v>0</v>
      </c>
      <c r="G273" s="216">
        <v>22.6</v>
      </c>
      <c r="H273" s="181">
        <f t="shared" si="52"/>
        <v>0</v>
      </c>
      <c r="L273" s="182"/>
      <c r="T273" s="181"/>
    </row>
    <row r="274" spans="1:20">
      <c r="A274" s="215" t="s">
        <v>558</v>
      </c>
      <c r="C274" s="179">
        <v>35</v>
      </c>
      <c r="D274" s="236">
        <f>+'Tariff Summary Lights'!F173</f>
        <v>19</v>
      </c>
      <c r="E274" s="99"/>
      <c r="F274" s="181">
        <f t="shared" si="51"/>
        <v>665</v>
      </c>
      <c r="G274" s="216">
        <v>24.57</v>
      </c>
      <c r="H274" s="181">
        <f t="shared" si="52"/>
        <v>860</v>
      </c>
      <c r="L274" s="182"/>
      <c r="T274" s="181"/>
    </row>
    <row r="275" spans="1:20">
      <c r="A275" s="215" t="s">
        <v>559</v>
      </c>
      <c r="C275" s="179">
        <v>107</v>
      </c>
      <c r="D275" s="236">
        <f>+'Tariff Summary Lights'!F174</f>
        <v>20.12</v>
      </c>
      <c r="E275" s="99"/>
      <c r="F275" s="181">
        <f t="shared" si="51"/>
        <v>2153</v>
      </c>
      <c r="G275" s="216">
        <v>26.53</v>
      </c>
      <c r="H275" s="181">
        <f t="shared" si="52"/>
        <v>2839</v>
      </c>
      <c r="L275" s="182"/>
      <c r="T275" s="181"/>
    </row>
    <row r="276" spans="1:20">
      <c r="A276" s="215" t="s">
        <v>560</v>
      </c>
      <c r="C276" s="179">
        <v>0</v>
      </c>
      <c r="D276" s="236">
        <f>+'Tariff Summary Lights'!F175</f>
        <v>21.24</v>
      </c>
      <c r="E276" s="99"/>
      <c r="F276" s="181">
        <f t="shared" si="51"/>
        <v>0</v>
      </c>
      <c r="G276" s="216">
        <v>28.5</v>
      </c>
      <c r="H276" s="181">
        <f t="shared" si="52"/>
        <v>0</v>
      </c>
      <c r="L276" s="182"/>
      <c r="T276" s="181"/>
    </row>
    <row r="277" spans="1:20">
      <c r="A277" s="189" t="s">
        <v>568</v>
      </c>
      <c r="C277" s="179">
        <v>0</v>
      </c>
      <c r="D277" s="236">
        <f>+'Tariff Summary Lights'!F176</f>
        <v>23.66</v>
      </c>
      <c r="E277" s="99"/>
      <c r="F277" s="181">
        <f t="shared" si="51"/>
        <v>0</v>
      </c>
      <c r="G277" s="216">
        <v>32.770000000000003</v>
      </c>
      <c r="H277" s="181">
        <f t="shared" si="52"/>
        <v>0</v>
      </c>
      <c r="L277" s="182"/>
      <c r="T277" s="181"/>
    </row>
    <row r="278" spans="1:20">
      <c r="A278" s="118" t="s">
        <v>563</v>
      </c>
      <c r="C278" s="179">
        <v>0</v>
      </c>
      <c r="D278" s="236">
        <f>+'Tariff Summary Lights'!F177</f>
        <v>27.38</v>
      </c>
      <c r="E278" s="99"/>
      <c r="F278" s="181">
        <f t="shared" si="51"/>
        <v>0</v>
      </c>
      <c r="G278" s="216">
        <v>39.340000000000003</v>
      </c>
      <c r="H278" s="181">
        <f t="shared" si="52"/>
        <v>0</v>
      </c>
      <c r="L278" s="182"/>
      <c r="T278" s="181"/>
    </row>
    <row r="279" spans="1:20">
      <c r="A279" s="189" t="s">
        <v>564</v>
      </c>
      <c r="C279" s="179">
        <v>0</v>
      </c>
      <c r="D279" s="236">
        <f>+'Tariff Summary Lights'!F178</f>
        <v>31.1</v>
      </c>
      <c r="E279" s="99"/>
      <c r="F279" s="181">
        <f t="shared" si="51"/>
        <v>0</v>
      </c>
      <c r="G279" s="216">
        <v>45.9</v>
      </c>
      <c r="H279" s="181">
        <f t="shared" si="52"/>
        <v>0</v>
      </c>
      <c r="L279" s="182"/>
      <c r="T279" s="181"/>
    </row>
    <row r="280" spans="1:20">
      <c r="A280" s="118" t="s">
        <v>565</v>
      </c>
      <c r="C280" s="179">
        <v>0</v>
      </c>
      <c r="D280" s="236">
        <f>+'Tariff Summary Lights'!F179</f>
        <v>34.82</v>
      </c>
      <c r="E280" s="99"/>
      <c r="F280" s="181">
        <f t="shared" si="51"/>
        <v>0</v>
      </c>
      <c r="G280" s="216">
        <v>52.47</v>
      </c>
      <c r="H280" s="181">
        <f t="shared" si="52"/>
        <v>0</v>
      </c>
      <c r="L280" s="182"/>
      <c r="T280" s="181"/>
    </row>
    <row r="281" spans="1:20">
      <c r="A281" s="118" t="s">
        <v>566</v>
      </c>
      <c r="C281" s="179">
        <v>0</v>
      </c>
      <c r="D281" s="236">
        <f>+'Tariff Summary Lights'!F180</f>
        <v>38.54</v>
      </c>
      <c r="E281" s="99"/>
      <c r="F281" s="181">
        <f t="shared" si="51"/>
        <v>0</v>
      </c>
      <c r="G281" s="216">
        <v>59.03</v>
      </c>
      <c r="H281" s="181">
        <f t="shared" si="52"/>
        <v>0</v>
      </c>
      <c r="L281" s="182"/>
      <c r="T281" s="181"/>
    </row>
    <row r="282" spans="1:20">
      <c r="A282" s="189" t="s">
        <v>567</v>
      </c>
      <c r="C282" s="179">
        <v>0</v>
      </c>
      <c r="D282" s="236">
        <f>+'Tariff Summary Lights'!F181</f>
        <v>42.26</v>
      </c>
      <c r="E282" s="99"/>
      <c r="F282" s="181">
        <f t="shared" si="51"/>
        <v>0</v>
      </c>
      <c r="G282" s="216">
        <v>65.59</v>
      </c>
      <c r="H282" s="181">
        <f t="shared" si="52"/>
        <v>0</v>
      </c>
      <c r="L282" s="182"/>
      <c r="T282" s="181"/>
    </row>
    <row r="284" spans="1:20">
      <c r="A284" s="189" t="s">
        <v>440</v>
      </c>
      <c r="B284" s="99"/>
      <c r="C284" s="179">
        <v>1905</v>
      </c>
      <c r="D284" s="216">
        <f>+'Tariff Summary Lights'!F183</f>
        <v>9.75</v>
      </c>
      <c r="E284" s="99"/>
      <c r="F284" s="181">
        <f t="shared" si="51"/>
        <v>18574</v>
      </c>
      <c r="G284" s="216">
        <v>11.49</v>
      </c>
      <c r="H284" s="181">
        <f>ROUND(G284*$C284,0)</f>
        <v>21888</v>
      </c>
      <c r="T284" s="181"/>
    </row>
    <row r="285" spans="1:20">
      <c r="A285" s="218" t="s">
        <v>34</v>
      </c>
      <c r="C285" s="219">
        <f>SUM(C247:C284)</f>
        <v>19495</v>
      </c>
      <c r="D285" s="176"/>
      <c r="F285" s="229">
        <f>SUM(F247:F284)</f>
        <v>423545</v>
      </c>
      <c r="G285" s="176"/>
      <c r="H285" s="229">
        <f>SUM(H247:H284)</f>
        <v>452408</v>
      </c>
      <c r="T285" s="229"/>
    </row>
    <row r="286" spans="1:20">
      <c r="A286" s="218"/>
      <c r="C286" s="20"/>
      <c r="D286" s="176"/>
      <c r="F286" s="54"/>
      <c r="G286" s="176"/>
      <c r="H286" s="54"/>
    </row>
    <row r="287" spans="1:20">
      <c r="A287" s="230" t="s">
        <v>139</v>
      </c>
      <c r="B287" s="99"/>
      <c r="C287" s="185">
        <v>3850</v>
      </c>
      <c r="E287" s="180"/>
      <c r="F287" s="181"/>
      <c r="H287" s="181"/>
    </row>
    <row r="288" spans="1:20">
      <c r="A288" s="230"/>
      <c r="B288" s="99"/>
      <c r="C288" s="209"/>
      <c r="E288" s="180"/>
      <c r="F288" s="181"/>
      <c r="H288" s="181"/>
    </row>
    <row r="289" spans="1:20">
      <c r="A289" s="177" t="s">
        <v>349</v>
      </c>
      <c r="C289" s="185">
        <v>2270980.27</v>
      </c>
      <c r="E289" s="180"/>
      <c r="F289" s="181"/>
      <c r="H289" s="181"/>
    </row>
    <row r="290" spans="1:20">
      <c r="A290" s="177" t="s">
        <v>350</v>
      </c>
      <c r="C290" s="185">
        <v>-3859.4170000000013</v>
      </c>
      <c r="D290" s="221">
        <f>ROUND(F290/C290,6)</f>
        <v>0.23526900000000001</v>
      </c>
      <c r="E290" s="183"/>
      <c r="F290" s="181">
        <f>$P$20</f>
        <v>-908</v>
      </c>
      <c r="G290" s="221">
        <f>ROUND(H290/C290,6)</f>
        <v>0.257552</v>
      </c>
      <c r="H290" s="181">
        <f>ROUND(+F290*(1+J290),0)</f>
        <v>-994</v>
      </c>
      <c r="I290" s="183"/>
      <c r="J290" s="98">
        <f>+$J$45</f>
        <v>9.457260029107821E-2</v>
      </c>
      <c r="K290" s="329" t="s">
        <v>351</v>
      </c>
      <c r="L290" s="329"/>
      <c r="M290" s="222"/>
      <c r="N290" s="222"/>
      <c r="O290" s="222"/>
      <c r="P290" s="222"/>
      <c r="Q290" s="222"/>
      <c r="R290" s="222"/>
      <c r="S290" s="222"/>
      <c r="T290" s="222"/>
    </row>
    <row r="291" spans="1:20" ht="16.5" thickBot="1">
      <c r="A291" s="223" t="s">
        <v>35</v>
      </c>
      <c r="B291" s="99"/>
      <c r="C291" s="231">
        <f>SUM(C289:C290)</f>
        <v>2267120.8530000001</v>
      </c>
      <c r="D291" s="100"/>
      <c r="F291" s="225">
        <f>SUM(F285,F290)</f>
        <v>422637</v>
      </c>
      <c r="G291" s="100"/>
      <c r="H291" s="225">
        <f>SUM(H285,H290)</f>
        <v>451414</v>
      </c>
    </row>
    <row r="292" spans="1:20" ht="16.5" thickTop="1"/>
  </sheetData>
  <mergeCells count="26"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</mergeCells>
  <pageMargins left="0.7" right="0.7" top="0.75" bottom="0.75" header="0.3" footer="0.3"/>
  <pageSetup scale="46" fitToHeight="0" orientation="landscape" r:id="rId1"/>
  <headerFooter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45"/>
  <sheetViews>
    <sheetView zoomScaleNormal="100" workbookViewId="0">
      <pane xSplit="3" ySplit="6" topLeftCell="D58" activePane="bottomRight" state="frozen"/>
      <selection activeCellId="1" sqref="A1:J1 A1:XFD1048576"/>
      <selection pane="topRight" activeCellId="1" sqref="A1:J1 A1:XFD1048576"/>
      <selection pane="bottomLeft" activeCellId="1" sqref="A1:J1 A1:XFD1048576"/>
      <selection pane="bottomRight" activeCellId="1" sqref="A1:J1 A1:XFD1048576"/>
    </sheetView>
  </sheetViews>
  <sheetFormatPr defaultColWidth="8.25" defaultRowHeight="12.75"/>
  <cols>
    <col min="1" max="1" width="4" style="155" bestFit="1" customWidth="1"/>
    <col min="2" max="2" width="12.25" style="155" bestFit="1" customWidth="1"/>
    <col min="3" max="3" width="56.125" style="155" bestFit="1" customWidth="1"/>
    <col min="4" max="4" width="13" style="155" customWidth="1"/>
    <col min="5" max="5" width="12.75" style="155" bestFit="1" customWidth="1"/>
    <col min="6" max="6" width="10.625" style="155" bestFit="1" customWidth="1"/>
    <col min="7" max="7" width="10.25" style="155" bestFit="1" customWidth="1"/>
    <col min="8" max="8" width="2.5" style="155" customWidth="1"/>
    <col min="9" max="247" width="8.25" style="155"/>
    <col min="248" max="248" width="4" style="155" bestFit="1" customWidth="1"/>
    <col min="249" max="249" width="9.875" style="155" customWidth="1"/>
    <col min="250" max="250" width="56.125" style="155" bestFit="1" customWidth="1"/>
    <col min="251" max="251" width="13" style="155" customWidth="1"/>
    <col min="252" max="252" width="11.25" style="155" bestFit="1" customWidth="1"/>
    <col min="253" max="253" width="11.75" style="155" customWidth="1"/>
    <col min="254" max="254" width="2.875" style="155" customWidth="1"/>
    <col min="255" max="255" width="13" style="155" bestFit="1" customWidth="1"/>
    <col min="256" max="256" width="14.875" style="155" bestFit="1" customWidth="1"/>
    <col min="257" max="257" width="13" style="155" bestFit="1" customWidth="1"/>
    <col min="258" max="503" width="8.25" style="155"/>
    <col min="504" max="504" width="4" style="155" bestFit="1" customWidth="1"/>
    <col min="505" max="505" width="9.875" style="155" customWidth="1"/>
    <col min="506" max="506" width="56.125" style="155" bestFit="1" customWidth="1"/>
    <col min="507" max="507" width="13" style="155" customWidth="1"/>
    <col min="508" max="508" width="11.25" style="155" bestFit="1" customWidth="1"/>
    <col min="509" max="509" width="11.75" style="155" customWidth="1"/>
    <col min="510" max="510" width="2.875" style="155" customWidth="1"/>
    <col min="511" max="511" width="13" style="155" bestFit="1" customWidth="1"/>
    <col min="512" max="512" width="14.875" style="155" bestFit="1" customWidth="1"/>
    <col min="513" max="513" width="13" style="155" bestFit="1" customWidth="1"/>
    <col min="514" max="759" width="8.25" style="155"/>
    <col min="760" max="760" width="4" style="155" bestFit="1" customWidth="1"/>
    <col min="761" max="761" width="9.875" style="155" customWidth="1"/>
    <col min="762" max="762" width="56.125" style="155" bestFit="1" customWidth="1"/>
    <col min="763" max="763" width="13" style="155" customWidth="1"/>
    <col min="764" max="764" width="11.25" style="155" bestFit="1" customWidth="1"/>
    <col min="765" max="765" width="11.75" style="155" customWidth="1"/>
    <col min="766" max="766" width="2.875" style="155" customWidth="1"/>
    <col min="767" max="767" width="13" style="155" bestFit="1" customWidth="1"/>
    <col min="768" max="768" width="14.875" style="155" bestFit="1" customWidth="1"/>
    <col min="769" max="769" width="13" style="155" bestFit="1" customWidth="1"/>
    <col min="770" max="1015" width="8.25" style="155"/>
    <col min="1016" max="1016" width="4" style="155" bestFit="1" customWidth="1"/>
    <col min="1017" max="1017" width="9.875" style="155" customWidth="1"/>
    <col min="1018" max="1018" width="56.125" style="155" bestFit="1" customWidth="1"/>
    <col min="1019" max="1019" width="13" style="155" customWidth="1"/>
    <col min="1020" max="1020" width="11.25" style="155" bestFit="1" customWidth="1"/>
    <col min="1021" max="1021" width="11.75" style="155" customWidth="1"/>
    <col min="1022" max="1022" width="2.875" style="155" customWidth="1"/>
    <col min="1023" max="1023" width="13" style="155" bestFit="1" customWidth="1"/>
    <col min="1024" max="1024" width="14.875" style="155" bestFit="1" customWidth="1"/>
    <col min="1025" max="1025" width="13" style="155" bestFit="1" customWidth="1"/>
    <col min="1026" max="1271" width="8.25" style="155"/>
    <col min="1272" max="1272" width="4" style="155" bestFit="1" customWidth="1"/>
    <col min="1273" max="1273" width="9.875" style="155" customWidth="1"/>
    <col min="1274" max="1274" width="56.125" style="155" bestFit="1" customWidth="1"/>
    <col min="1275" max="1275" width="13" style="155" customWidth="1"/>
    <col min="1276" max="1276" width="11.25" style="155" bestFit="1" customWidth="1"/>
    <col min="1277" max="1277" width="11.75" style="155" customWidth="1"/>
    <col min="1278" max="1278" width="2.875" style="155" customWidth="1"/>
    <col min="1279" max="1279" width="13" style="155" bestFit="1" customWidth="1"/>
    <col min="1280" max="1280" width="14.875" style="155" bestFit="1" customWidth="1"/>
    <col min="1281" max="1281" width="13" style="155" bestFit="1" customWidth="1"/>
    <col min="1282" max="1527" width="8.25" style="155"/>
    <col min="1528" max="1528" width="4" style="155" bestFit="1" customWidth="1"/>
    <col min="1529" max="1529" width="9.875" style="155" customWidth="1"/>
    <col min="1530" max="1530" width="56.125" style="155" bestFit="1" customWidth="1"/>
    <col min="1531" max="1531" width="13" style="155" customWidth="1"/>
    <col min="1532" max="1532" width="11.25" style="155" bestFit="1" customWidth="1"/>
    <col min="1533" max="1533" width="11.75" style="155" customWidth="1"/>
    <col min="1534" max="1534" width="2.875" style="155" customWidth="1"/>
    <col min="1535" max="1535" width="13" style="155" bestFit="1" customWidth="1"/>
    <col min="1536" max="1536" width="14.875" style="155" bestFit="1" customWidth="1"/>
    <col min="1537" max="1537" width="13" style="155" bestFit="1" customWidth="1"/>
    <col min="1538" max="1783" width="8.25" style="155"/>
    <col min="1784" max="1784" width="4" style="155" bestFit="1" customWidth="1"/>
    <col min="1785" max="1785" width="9.875" style="155" customWidth="1"/>
    <col min="1786" max="1786" width="56.125" style="155" bestFit="1" customWidth="1"/>
    <col min="1787" max="1787" width="13" style="155" customWidth="1"/>
    <col min="1788" max="1788" width="11.25" style="155" bestFit="1" customWidth="1"/>
    <col min="1789" max="1789" width="11.75" style="155" customWidth="1"/>
    <col min="1790" max="1790" width="2.875" style="155" customWidth="1"/>
    <col min="1791" max="1791" width="13" style="155" bestFit="1" customWidth="1"/>
    <col min="1792" max="1792" width="14.875" style="155" bestFit="1" customWidth="1"/>
    <col min="1793" max="1793" width="13" style="155" bestFit="1" customWidth="1"/>
    <col min="1794" max="2039" width="8.25" style="155"/>
    <col min="2040" max="2040" width="4" style="155" bestFit="1" customWidth="1"/>
    <col min="2041" max="2041" width="9.875" style="155" customWidth="1"/>
    <col min="2042" max="2042" width="56.125" style="155" bestFit="1" customWidth="1"/>
    <col min="2043" max="2043" width="13" style="155" customWidth="1"/>
    <col min="2044" max="2044" width="11.25" style="155" bestFit="1" customWidth="1"/>
    <col min="2045" max="2045" width="11.75" style="155" customWidth="1"/>
    <col min="2046" max="2046" width="2.875" style="155" customWidth="1"/>
    <col min="2047" max="2047" width="13" style="155" bestFit="1" customWidth="1"/>
    <col min="2048" max="2048" width="14.875" style="155" bestFit="1" customWidth="1"/>
    <col min="2049" max="2049" width="13" style="155" bestFit="1" customWidth="1"/>
    <col min="2050" max="2295" width="8.25" style="155"/>
    <col min="2296" max="2296" width="4" style="155" bestFit="1" customWidth="1"/>
    <col min="2297" max="2297" width="9.875" style="155" customWidth="1"/>
    <col min="2298" max="2298" width="56.125" style="155" bestFit="1" customWidth="1"/>
    <col min="2299" max="2299" width="13" style="155" customWidth="1"/>
    <col min="2300" max="2300" width="11.25" style="155" bestFit="1" customWidth="1"/>
    <col min="2301" max="2301" width="11.75" style="155" customWidth="1"/>
    <col min="2302" max="2302" width="2.875" style="155" customWidth="1"/>
    <col min="2303" max="2303" width="13" style="155" bestFit="1" customWidth="1"/>
    <col min="2304" max="2304" width="14.875" style="155" bestFit="1" customWidth="1"/>
    <col min="2305" max="2305" width="13" style="155" bestFit="1" customWidth="1"/>
    <col min="2306" max="2551" width="8.25" style="155"/>
    <col min="2552" max="2552" width="4" style="155" bestFit="1" customWidth="1"/>
    <col min="2553" max="2553" width="9.875" style="155" customWidth="1"/>
    <col min="2554" max="2554" width="56.125" style="155" bestFit="1" customWidth="1"/>
    <col min="2555" max="2555" width="13" style="155" customWidth="1"/>
    <col min="2556" max="2556" width="11.25" style="155" bestFit="1" customWidth="1"/>
    <col min="2557" max="2557" width="11.75" style="155" customWidth="1"/>
    <col min="2558" max="2558" width="2.875" style="155" customWidth="1"/>
    <col min="2559" max="2559" width="13" style="155" bestFit="1" customWidth="1"/>
    <col min="2560" max="2560" width="14.875" style="155" bestFit="1" customWidth="1"/>
    <col min="2561" max="2561" width="13" style="155" bestFit="1" customWidth="1"/>
    <col min="2562" max="2807" width="8.25" style="155"/>
    <col min="2808" max="2808" width="4" style="155" bestFit="1" customWidth="1"/>
    <col min="2809" max="2809" width="9.875" style="155" customWidth="1"/>
    <col min="2810" max="2810" width="56.125" style="155" bestFit="1" customWidth="1"/>
    <col min="2811" max="2811" width="13" style="155" customWidth="1"/>
    <col min="2812" max="2812" width="11.25" style="155" bestFit="1" customWidth="1"/>
    <col min="2813" max="2813" width="11.75" style="155" customWidth="1"/>
    <col min="2814" max="2814" width="2.875" style="155" customWidth="1"/>
    <col min="2815" max="2815" width="13" style="155" bestFit="1" customWidth="1"/>
    <col min="2816" max="2816" width="14.875" style="155" bestFit="1" customWidth="1"/>
    <col min="2817" max="2817" width="13" style="155" bestFit="1" customWidth="1"/>
    <col min="2818" max="3063" width="8.25" style="155"/>
    <col min="3064" max="3064" width="4" style="155" bestFit="1" customWidth="1"/>
    <col min="3065" max="3065" width="9.875" style="155" customWidth="1"/>
    <col min="3066" max="3066" width="56.125" style="155" bestFit="1" customWidth="1"/>
    <col min="3067" max="3067" width="13" style="155" customWidth="1"/>
    <col min="3068" max="3068" width="11.25" style="155" bestFit="1" customWidth="1"/>
    <col min="3069" max="3069" width="11.75" style="155" customWidth="1"/>
    <col min="3070" max="3070" width="2.875" style="155" customWidth="1"/>
    <col min="3071" max="3071" width="13" style="155" bestFit="1" customWidth="1"/>
    <col min="3072" max="3072" width="14.875" style="155" bestFit="1" customWidth="1"/>
    <col min="3073" max="3073" width="13" style="155" bestFit="1" customWidth="1"/>
    <col min="3074" max="3319" width="8.25" style="155"/>
    <col min="3320" max="3320" width="4" style="155" bestFit="1" customWidth="1"/>
    <col min="3321" max="3321" width="9.875" style="155" customWidth="1"/>
    <col min="3322" max="3322" width="56.125" style="155" bestFit="1" customWidth="1"/>
    <col min="3323" max="3323" width="13" style="155" customWidth="1"/>
    <col min="3324" max="3324" width="11.25" style="155" bestFit="1" customWidth="1"/>
    <col min="3325" max="3325" width="11.75" style="155" customWidth="1"/>
    <col min="3326" max="3326" width="2.875" style="155" customWidth="1"/>
    <col min="3327" max="3327" width="13" style="155" bestFit="1" customWidth="1"/>
    <col min="3328" max="3328" width="14.875" style="155" bestFit="1" customWidth="1"/>
    <col min="3329" max="3329" width="13" style="155" bestFit="1" customWidth="1"/>
    <col min="3330" max="3575" width="8.25" style="155"/>
    <col min="3576" max="3576" width="4" style="155" bestFit="1" customWidth="1"/>
    <col min="3577" max="3577" width="9.875" style="155" customWidth="1"/>
    <col min="3578" max="3578" width="56.125" style="155" bestFit="1" customWidth="1"/>
    <col min="3579" max="3579" width="13" style="155" customWidth="1"/>
    <col min="3580" max="3580" width="11.25" style="155" bestFit="1" customWidth="1"/>
    <col min="3581" max="3581" width="11.75" style="155" customWidth="1"/>
    <col min="3582" max="3582" width="2.875" style="155" customWidth="1"/>
    <col min="3583" max="3583" width="13" style="155" bestFit="1" customWidth="1"/>
    <col min="3584" max="3584" width="14.875" style="155" bestFit="1" customWidth="1"/>
    <col min="3585" max="3585" width="13" style="155" bestFit="1" customWidth="1"/>
    <col min="3586" max="3831" width="8.25" style="155"/>
    <col min="3832" max="3832" width="4" style="155" bestFit="1" customWidth="1"/>
    <col min="3833" max="3833" width="9.875" style="155" customWidth="1"/>
    <col min="3834" max="3834" width="56.125" style="155" bestFit="1" customWidth="1"/>
    <col min="3835" max="3835" width="13" style="155" customWidth="1"/>
    <col min="3836" max="3836" width="11.25" style="155" bestFit="1" customWidth="1"/>
    <col min="3837" max="3837" width="11.75" style="155" customWidth="1"/>
    <col min="3838" max="3838" width="2.875" style="155" customWidth="1"/>
    <col min="3839" max="3839" width="13" style="155" bestFit="1" customWidth="1"/>
    <col min="3840" max="3840" width="14.875" style="155" bestFit="1" customWidth="1"/>
    <col min="3841" max="3841" width="13" style="155" bestFit="1" customWidth="1"/>
    <col min="3842" max="4087" width="8.25" style="155"/>
    <col min="4088" max="4088" width="4" style="155" bestFit="1" customWidth="1"/>
    <col min="4089" max="4089" width="9.875" style="155" customWidth="1"/>
    <col min="4090" max="4090" width="56.125" style="155" bestFit="1" customWidth="1"/>
    <col min="4091" max="4091" width="13" style="155" customWidth="1"/>
    <col min="4092" max="4092" width="11.25" style="155" bestFit="1" customWidth="1"/>
    <col min="4093" max="4093" width="11.75" style="155" customWidth="1"/>
    <col min="4094" max="4094" width="2.875" style="155" customWidth="1"/>
    <col min="4095" max="4095" width="13" style="155" bestFit="1" customWidth="1"/>
    <col min="4096" max="4096" width="14.875" style="155" bestFit="1" customWidth="1"/>
    <col min="4097" max="4097" width="13" style="155" bestFit="1" customWidth="1"/>
    <col min="4098" max="4343" width="8.25" style="155"/>
    <col min="4344" max="4344" width="4" style="155" bestFit="1" customWidth="1"/>
    <col min="4345" max="4345" width="9.875" style="155" customWidth="1"/>
    <col min="4346" max="4346" width="56.125" style="155" bestFit="1" customWidth="1"/>
    <col min="4347" max="4347" width="13" style="155" customWidth="1"/>
    <col min="4348" max="4348" width="11.25" style="155" bestFit="1" customWidth="1"/>
    <col min="4349" max="4349" width="11.75" style="155" customWidth="1"/>
    <col min="4350" max="4350" width="2.875" style="155" customWidth="1"/>
    <col min="4351" max="4351" width="13" style="155" bestFit="1" customWidth="1"/>
    <col min="4352" max="4352" width="14.875" style="155" bestFit="1" customWidth="1"/>
    <col min="4353" max="4353" width="13" style="155" bestFit="1" customWidth="1"/>
    <col min="4354" max="4599" width="8.25" style="155"/>
    <col min="4600" max="4600" width="4" style="155" bestFit="1" customWidth="1"/>
    <col min="4601" max="4601" width="9.875" style="155" customWidth="1"/>
    <col min="4602" max="4602" width="56.125" style="155" bestFit="1" customWidth="1"/>
    <col min="4603" max="4603" width="13" style="155" customWidth="1"/>
    <col min="4604" max="4604" width="11.25" style="155" bestFit="1" customWidth="1"/>
    <col min="4605" max="4605" width="11.75" style="155" customWidth="1"/>
    <col min="4606" max="4606" width="2.875" style="155" customWidth="1"/>
    <col min="4607" max="4607" width="13" style="155" bestFit="1" customWidth="1"/>
    <col min="4608" max="4608" width="14.875" style="155" bestFit="1" customWidth="1"/>
    <col min="4609" max="4609" width="13" style="155" bestFit="1" customWidth="1"/>
    <col min="4610" max="4855" width="8.25" style="155"/>
    <col min="4856" max="4856" width="4" style="155" bestFit="1" customWidth="1"/>
    <col min="4857" max="4857" width="9.875" style="155" customWidth="1"/>
    <col min="4858" max="4858" width="56.125" style="155" bestFit="1" customWidth="1"/>
    <col min="4859" max="4859" width="13" style="155" customWidth="1"/>
    <col min="4860" max="4860" width="11.25" style="155" bestFit="1" customWidth="1"/>
    <col min="4861" max="4861" width="11.75" style="155" customWidth="1"/>
    <col min="4862" max="4862" width="2.875" style="155" customWidth="1"/>
    <col min="4863" max="4863" width="13" style="155" bestFit="1" customWidth="1"/>
    <col min="4864" max="4864" width="14.875" style="155" bestFit="1" customWidth="1"/>
    <col min="4865" max="4865" width="13" style="155" bestFit="1" customWidth="1"/>
    <col min="4866" max="5111" width="8.25" style="155"/>
    <col min="5112" max="5112" width="4" style="155" bestFit="1" customWidth="1"/>
    <col min="5113" max="5113" width="9.875" style="155" customWidth="1"/>
    <col min="5114" max="5114" width="56.125" style="155" bestFit="1" customWidth="1"/>
    <col min="5115" max="5115" width="13" style="155" customWidth="1"/>
    <col min="5116" max="5116" width="11.25" style="155" bestFit="1" customWidth="1"/>
    <col min="5117" max="5117" width="11.75" style="155" customWidth="1"/>
    <col min="5118" max="5118" width="2.875" style="155" customWidth="1"/>
    <col min="5119" max="5119" width="13" style="155" bestFit="1" customWidth="1"/>
    <col min="5120" max="5120" width="14.875" style="155" bestFit="1" customWidth="1"/>
    <col min="5121" max="5121" width="13" style="155" bestFit="1" customWidth="1"/>
    <col min="5122" max="5367" width="8.25" style="155"/>
    <col min="5368" max="5368" width="4" style="155" bestFit="1" customWidth="1"/>
    <col min="5369" max="5369" width="9.875" style="155" customWidth="1"/>
    <col min="5370" max="5370" width="56.125" style="155" bestFit="1" customWidth="1"/>
    <col min="5371" max="5371" width="13" style="155" customWidth="1"/>
    <col min="5372" max="5372" width="11.25" style="155" bestFit="1" customWidth="1"/>
    <col min="5373" max="5373" width="11.75" style="155" customWidth="1"/>
    <col min="5374" max="5374" width="2.875" style="155" customWidth="1"/>
    <col min="5375" max="5375" width="13" style="155" bestFit="1" customWidth="1"/>
    <col min="5376" max="5376" width="14.875" style="155" bestFit="1" customWidth="1"/>
    <col min="5377" max="5377" width="13" style="155" bestFit="1" customWidth="1"/>
    <col min="5378" max="5623" width="8.25" style="155"/>
    <col min="5624" max="5624" width="4" style="155" bestFit="1" customWidth="1"/>
    <col min="5625" max="5625" width="9.875" style="155" customWidth="1"/>
    <col min="5626" max="5626" width="56.125" style="155" bestFit="1" customWidth="1"/>
    <col min="5627" max="5627" width="13" style="155" customWidth="1"/>
    <col min="5628" max="5628" width="11.25" style="155" bestFit="1" customWidth="1"/>
    <col min="5629" max="5629" width="11.75" style="155" customWidth="1"/>
    <col min="5630" max="5630" width="2.875" style="155" customWidth="1"/>
    <col min="5631" max="5631" width="13" style="155" bestFit="1" customWidth="1"/>
    <col min="5632" max="5632" width="14.875" style="155" bestFit="1" customWidth="1"/>
    <col min="5633" max="5633" width="13" style="155" bestFit="1" customWidth="1"/>
    <col min="5634" max="5879" width="8.25" style="155"/>
    <col min="5880" max="5880" width="4" style="155" bestFit="1" customWidth="1"/>
    <col min="5881" max="5881" width="9.875" style="155" customWidth="1"/>
    <col min="5882" max="5882" width="56.125" style="155" bestFit="1" customWidth="1"/>
    <col min="5883" max="5883" width="13" style="155" customWidth="1"/>
    <col min="5884" max="5884" width="11.25" style="155" bestFit="1" customWidth="1"/>
    <col min="5885" max="5885" width="11.75" style="155" customWidth="1"/>
    <col min="5886" max="5886" width="2.875" style="155" customWidth="1"/>
    <col min="5887" max="5887" width="13" style="155" bestFit="1" customWidth="1"/>
    <col min="5888" max="5888" width="14.875" style="155" bestFit="1" customWidth="1"/>
    <col min="5889" max="5889" width="13" style="155" bestFit="1" customWidth="1"/>
    <col min="5890" max="6135" width="8.25" style="155"/>
    <col min="6136" max="6136" width="4" style="155" bestFit="1" customWidth="1"/>
    <col min="6137" max="6137" width="9.875" style="155" customWidth="1"/>
    <col min="6138" max="6138" width="56.125" style="155" bestFit="1" customWidth="1"/>
    <col min="6139" max="6139" width="13" style="155" customWidth="1"/>
    <col min="6140" max="6140" width="11.25" style="155" bestFit="1" customWidth="1"/>
    <col min="6141" max="6141" width="11.75" style="155" customWidth="1"/>
    <col min="6142" max="6142" width="2.875" style="155" customWidth="1"/>
    <col min="6143" max="6143" width="13" style="155" bestFit="1" customWidth="1"/>
    <col min="6144" max="6144" width="14.875" style="155" bestFit="1" customWidth="1"/>
    <col min="6145" max="6145" width="13" style="155" bestFit="1" customWidth="1"/>
    <col min="6146" max="6391" width="8.25" style="155"/>
    <col min="6392" max="6392" width="4" style="155" bestFit="1" customWidth="1"/>
    <col min="6393" max="6393" width="9.875" style="155" customWidth="1"/>
    <col min="6394" max="6394" width="56.125" style="155" bestFit="1" customWidth="1"/>
    <col min="6395" max="6395" width="13" style="155" customWidth="1"/>
    <col min="6396" max="6396" width="11.25" style="155" bestFit="1" customWidth="1"/>
    <col min="6397" max="6397" width="11.75" style="155" customWidth="1"/>
    <col min="6398" max="6398" width="2.875" style="155" customWidth="1"/>
    <col min="6399" max="6399" width="13" style="155" bestFit="1" customWidth="1"/>
    <col min="6400" max="6400" width="14.875" style="155" bestFit="1" customWidth="1"/>
    <col min="6401" max="6401" width="13" style="155" bestFit="1" customWidth="1"/>
    <col min="6402" max="6647" width="8.25" style="155"/>
    <col min="6648" max="6648" width="4" style="155" bestFit="1" customWidth="1"/>
    <col min="6649" max="6649" width="9.875" style="155" customWidth="1"/>
    <col min="6650" max="6650" width="56.125" style="155" bestFit="1" customWidth="1"/>
    <col min="6651" max="6651" width="13" style="155" customWidth="1"/>
    <col min="6652" max="6652" width="11.25" style="155" bestFit="1" customWidth="1"/>
    <col min="6653" max="6653" width="11.75" style="155" customWidth="1"/>
    <col min="6654" max="6654" width="2.875" style="155" customWidth="1"/>
    <col min="6655" max="6655" width="13" style="155" bestFit="1" customWidth="1"/>
    <col min="6656" max="6656" width="14.875" style="155" bestFit="1" customWidth="1"/>
    <col min="6657" max="6657" width="13" style="155" bestFit="1" customWidth="1"/>
    <col min="6658" max="6903" width="8.25" style="155"/>
    <col min="6904" max="6904" width="4" style="155" bestFit="1" customWidth="1"/>
    <col min="6905" max="6905" width="9.875" style="155" customWidth="1"/>
    <col min="6906" max="6906" width="56.125" style="155" bestFit="1" customWidth="1"/>
    <col min="6907" max="6907" width="13" style="155" customWidth="1"/>
    <col min="6908" max="6908" width="11.25" style="155" bestFit="1" customWidth="1"/>
    <col min="6909" max="6909" width="11.75" style="155" customWidth="1"/>
    <col min="6910" max="6910" width="2.875" style="155" customWidth="1"/>
    <col min="6911" max="6911" width="13" style="155" bestFit="1" customWidth="1"/>
    <col min="6912" max="6912" width="14.875" style="155" bestFit="1" customWidth="1"/>
    <col min="6913" max="6913" width="13" style="155" bestFit="1" customWidth="1"/>
    <col min="6914" max="7159" width="8.25" style="155"/>
    <col min="7160" max="7160" width="4" style="155" bestFit="1" customWidth="1"/>
    <col min="7161" max="7161" width="9.875" style="155" customWidth="1"/>
    <col min="7162" max="7162" width="56.125" style="155" bestFit="1" customWidth="1"/>
    <col min="7163" max="7163" width="13" style="155" customWidth="1"/>
    <col min="7164" max="7164" width="11.25" style="155" bestFit="1" customWidth="1"/>
    <col min="7165" max="7165" width="11.75" style="155" customWidth="1"/>
    <col min="7166" max="7166" width="2.875" style="155" customWidth="1"/>
    <col min="7167" max="7167" width="13" style="155" bestFit="1" customWidth="1"/>
    <col min="7168" max="7168" width="14.875" style="155" bestFit="1" customWidth="1"/>
    <col min="7169" max="7169" width="13" style="155" bestFit="1" customWidth="1"/>
    <col min="7170" max="7415" width="8.25" style="155"/>
    <col min="7416" max="7416" width="4" style="155" bestFit="1" customWidth="1"/>
    <col min="7417" max="7417" width="9.875" style="155" customWidth="1"/>
    <col min="7418" max="7418" width="56.125" style="155" bestFit="1" customWidth="1"/>
    <col min="7419" max="7419" width="13" style="155" customWidth="1"/>
    <col min="7420" max="7420" width="11.25" style="155" bestFit="1" customWidth="1"/>
    <col min="7421" max="7421" width="11.75" style="155" customWidth="1"/>
    <col min="7422" max="7422" width="2.875" style="155" customWidth="1"/>
    <col min="7423" max="7423" width="13" style="155" bestFit="1" customWidth="1"/>
    <col min="7424" max="7424" width="14.875" style="155" bestFit="1" customWidth="1"/>
    <col min="7425" max="7425" width="13" style="155" bestFit="1" customWidth="1"/>
    <col min="7426" max="7671" width="8.25" style="155"/>
    <col min="7672" max="7672" width="4" style="155" bestFit="1" customWidth="1"/>
    <col min="7673" max="7673" width="9.875" style="155" customWidth="1"/>
    <col min="7674" max="7674" width="56.125" style="155" bestFit="1" customWidth="1"/>
    <col min="7675" max="7675" width="13" style="155" customWidth="1"/>
    <col min="7676" max="7676" width="11.25" style="155" bestFit="1" customWidth="1"/>
    <col min="7677" max="7677" width="11.75" style="155" customWidth="1"/>
    <col min="7678" max="7678" width="2.875" style="155" customWidth="1"/>
    <col min="7679" max="7679" width="13" style="155" bestFit="1" customWidth="1"/>
    <col min="7680" max="7680" width="14.875" style="155" bestFit="1" customWidth="1"/>
    <col min="7681" max="7681" width="13" style="155" bestFit="1" customWidth="1"/>
    <col min="7682" max="7927" width="8.25" style="155"/>
    <col min="7928" max="7928" width="4" style="155" bestFit="1" customWidth="1"/>
    <col min="7929" max="7929" width="9.875" style="155" customWidth="1"/>
    <col min="7930" max="7930" width="56.125" style="155" bestFit="1" customWidth="1"/>
    <col min="7931" max="7931" width="13" style="155" customWidth="1"/>
    <col min="7932" max="7932" width="11.25" style="155" bestFit="1" customWidth="1"/>
    <col min="7933" max="7933" width="11.75" style="155" customWidth="1"/>
    <col min="7934" max="7934" width="2.875" style="155" customWidth="1"/>
    <col min="7935" max="7935" width="13" style="155" bestFit="1" customWidth="1"/>
    <col min="7936" max="7936" width="14.875" style="155" bestFit="1" customWidth="1"/>
    <col min="7937" max="7937" width="13" style="155" bestFit="1" customWidth="1"/>
    <col min="7938" max="8183" width="8.25" style="155"/>
    <col min="8184" max="8184" width="4" style="155" bestFit="1" customWidth="1"/>
    <col min="8185" max="8185" width="9.875" style="155" customWidth="1"/>
    <col min="8186" max="8186" width="56.125" style="155" bestFit="1" customWidth="1"/>
    <col min="8187" max="8187" width="13" style="155" customWidth="1"/>
    <col min="8188" max="8188" width="11.25" style="155" bestFit="1" customWidth="1"/>
    <col min="8189" max="8189" width="11.75" style="155" customWidth="1"/>
    <col min="8190" max="8190" width="2.875" style="155" customWidth="1"/>
    <col min="8191" max="8191" width="13" style="155" bestFit="1" customWidth="1"/>
    <col min="8192" max="8192" width="14.875" style="155" bestFit="1" customWidth="1"/>
    <col min="8193" max="8193" width="13" style="155" bestFit="1" customWidth="1"/>
    <col min="8194" max="8439" width="8.25" style="155"/>
    <col min="8440" max="8440" width="4" style="155" bestFit="1" customWidth="1"/>
    <col min="8441" max="8441" width="9.875" style="155" customWidth="1"/>
    <col min="8442" max="8442" width="56.125" style="155" bestFit="1" customWidth="1"/>
    <col min="8443" max="8443" width="13" style="155" customWidth="1"/>
    <col min="8444" max="8444" width="11.25" style="155" bestFit="1" customWidth="1"/>
    <col min="8445" max="8445" width="11.75" style="155" customWidth="1"/>
    <col min="8446" max="8446" width="2.875" style="155" customWidth="1"/>
    <col min="8447" max="8447" width="13" style="155" bestFit="1" customWidth="1"/>
    <col min="8448" max="8448" width="14.875" style="155" bestFit="1" customWidth="1"/>
    <col min="8449" max="8449" width="13" style="155" bestFit="1" customWidth="1"/>
    <col min="8450" max="8695" width="8.25" style="155"/>
    <col min="8696" max="8696" width="4" style="155" bestFit="1" customWidth="1"/>
    <col min="8697" max="8697" width="9.875" style="155" customWidth="1"/>
    <col min="8698" max="8698" width="56.125" style="155" bestFit="1" customWidth="1"/>
    <col min="8699" max="8699" width="13" style="155" customWidth="1"/>
    <col min="8700" max="8700" width="11.25" style="155" bestFit="1" customWidth="1"/>
    <col min="8701" max="8701" width="11.75" style="155" customWidth="1"/>
    <col min="8702" max="8702" width="2.875" style="155" customWidth="1"/>
    <col min="8703" max="8703" width="13" style="155" bestFit="1" customWidth="1"/>
    <col min="8704" max="8704" width="14.875" style="155" bestFit="1" customWidth="1"/>
    <col min="8705" max="8705" width="13" style="155" bestFit="1" customWidth="1"/>
    <col min="8706" max="8951" width="8.25" style="155"/>
    <col min="8952" max="8952" width="4" style="155" bestFit="1" customWidth="1"/>
    <col min="8953" max="8953" width="9.875" style="155" customWidth="1"/>
    <col min="8954" max="8954" width="56.125" style="155" bestFit="1" customWidth="1"/>
    <col min="8955" max="8955" width="13" style="155" customWidth="1"/>
    <col min="8956" max="8956" width="11.25" style="155" bestFit="1" customWidth="1"/>
    <col min="8957" max="8957" width="11.75" style="155" customWidth="1"/>
    <col min="8958" max="8958" width="2.875" style="155" customWidth="1"/>
    <col min="8959" max="8959" width="13" style="155" bestFit="1" customWidth="1"/>
    <col min="8960" max="8960" width="14.875" style="155" bestFit="1" customWidth="1"/>
    <col min="8961" max="8961" width="13" style="155" bestFit="1" customWidth="1"/>
    <col min="8962" max="9207" width="8.25" style="155"/>
    <col min="9208" max="9208" width="4" style="155" bestFit="1" customWidth="1"/>
    <col min="9209" max="9209" width="9.875" style="155" customWidth="1"/>
    <col min="9210" max="9210" width="56.125" style="155" bestFit="1" customWidth="1"/>
    <col min="9211" max="9211" width="13" style="155" customWidth="1"/>
    <col min="9212" max="9212" width="11.25" style="155" bestFit="1" customWidth="1"/>
    <col min="9213" max="9213" width="11.75" style="155" customWidth="1"/>
    <col min="9214" max="9214" width="2.875" style="155" customWidth="1"/>
    <col min="9215" max="9215" width="13" style="155" bestFit="1" customWidth="1"/>
    <col min="9216" max="9216" width="14.875" style="155" bestFit="1" customWidth="1"/>
    <col min="9217" max="9217" width="13" style="155" bestFit="1" customWidth="1"/>
    <col min="9218" max="9463" width="8.25" style="155"/>
    <col min="9464" max="9464" width="4" style="155" bestFit="1" customWidth="1"/>
    <col min="9465" max="9465" width="9.875" style="155" customWidth="1"/>
    <col min="9466" max="9466" width="56.125" style="155" bestFit="1" customWidth="1"/>
    <col min="9467" max="9467" width="13" style="155" customWidth="1"/>
    <col min="9468" max="9468" width="11.25" style="155" bestFit="1" customWidth="1"/>
    <col min="9469" max="9469" width="11.75" style="155" customWidth="1"/>
    <col min="9470" max="9470" width="2.875" style="155" customWidth="1"/>
    <col min="9471" max="9471" width="13" style="155" bestFit="1" customWidth="1"/>
    <col min="9472" max="9472" width="14.875" style="155" bestFit="1" customWidth="1"/>
    <col min="9473" max="9473" width="13" style="155" bestFit="1" customWidth="1"/>
    <col min="9474" max="9719" width="8.25" style="155"/>
    <col min="9720" max="9720" width="4" style="155" bestFit="1" customWidth="1"/>
    <col min="9721" max="9721" width="9.875" style="155" customWidth="1"/>
    <col min="9722" max="9722" width="56.125" style="155" bestFit="1" customWidth="1"/>
    <col min="9723" max="9723" width="13" style="155" customWidth="1"/>
    <col min="9724" max="9724" width="11.25" style="155" bestFit="1" customWidth="1"/>
    <col min="9725" max="9725" width="11.75" style="155" customWidth="1"/>
    <col min="9726" max="9726" width="2.875" style="155" customWidth="1"/>
    <col min="9727" max="9727" width="13" style="155" bestFit="1" customWidth="1"/>
    <col min="9728" max="9728" width="14.875" style="155" bestFit="1" customWidth="1"/>
    <col min="9729" max="9729" width="13" style="155" bestFit="1" customWidth="1"/>
    <col min="9730" max="9975" width="8.25" style="155"/>
    <col min="9976" max="9976" width="4" style="155" bestFit="1" customWidth="1"/>
    <col min="9977" max="9977" width="9.875" style="155" customWidth="1"/>
    <col min="9978" max="9978" width="56.125" style="155" bestFit="1" customWidth="1"/>
    <col min="9979" max="9979" width="13" style="155" customWidth="1"/>
    <col min="9980" max="9980" width="11.25" style="155" bestFit="1" customWidth="1"/>
    <col min="9981" max="9981" width="11.75" style="155" customWidth="1"/>
    <col min="9982" max="9982" width="2.875" style="155" customWidth="1"/>
    <col min="9983" max="9983" width="13" style="155" bestFit="1" customWidth="1"/>
    <col min="9984" max="9984" width="14.875" style="155" bestFit="1" customWidth="1"/>
    <col min="9985" max="9985" width="13" style="155" bestFit="1" customWidth="1"/>
    <col min="9986" max="10231" width="8.25" style="155"/>
    <col min="10232" max="10232" width="4" style="155" bestFit="1" customWidth="1"/>
    <col min="10233" max="10233" width="9.875" style="155" customWidth="1"/>
    <col min="10234" max="10234" width="56.125" style="155" bestFit="1" customWidth="1"/>
    <col min="10235" max="10235" width="13" style="155" customWidth="1"/>
    <col min="10236" max="10236" width="11.25" style="155" bestFit="1" customWidth="1"/>
    <col min="10237" max="10237" width="11.75" style="155" customWidth="1"/>
    <col min="10238" max="10238" width="2.875" style="155" customWidth="1"/>
    <col min="10239" max="10239" width="13" style="155" bestFit="1" customWidth="1"/>
    <col min="10240" max="10240" width="14.875" style="155" bestFit="1" customWidth="1"/>
    <col min="10241" max="10241" width="13" style="155" bestFit="1" customWidth="1"/>
    <col min="10242" max="10487" width="8.25" style="155"/>
    <col min="10488" max="10488" width="4" style="155" bestFit="1" customWidth="1"/>
    <col min="10489" max="10489" width="9.875" style="155" customWidth="1"/>
    <col min="10490" max="10490" width="56.125" style="155" bestFit="1" customWidth="1"/>
    <col min="10491" max="10491" width="13" style="155" customWidth="1"/>
    <col min="10492" max="10492" width="11.25" style="155" bestFit="1" customWidth="1"/>
    <col min="10493" max="10493" width="11.75" style="155" customWidth="1"/>
    <col min="10494" max="10494" width="2.875" style="155" customWidth="1"/>
    <col min="10495" max="10495" width="13" style="155" bestFit="1" customWidth="1"/>
    <col min="10496" max="10496" width="14.875" style="155" bestFit="1" customWidth="1"/>
    <col min="10497" max="10497" width="13" style="155" bestFit="1" customWidth="1"/>
    <col min="10498" max="10743" width="8.25" style="155"/>
    <col min="10744" max="10744" width="4" style="155" bestFit="1" customWidth="1"/>
    <col min="10745" max="10745" width="9.875" style="155" customWidth="1"/>
    <col min="10746" max="10746" width="56.125" style="155" bestFit="1" customWidth="1"/>
    <col min="10747" max="10747" width="13" style="155" customWidth="1"/>
    <col min="10748" max="10748" width="11.25" style="155" bestFit="1" customWidth="1"/>
    <col min="10749" max="10749" width="11.75" style="155" customWidth="1"/>
    <col min="10750" max="10750" width="2.875" style="155" customWidth="1"/>
    <col min="10751" max="10751" width="13" style="155" bestFit="1" customWidth="1"/>
    <col min="10752" max="10752" width="14.875" style="155" bestFit="1" customWidth="1"/>
    <col min="10753" max="10753" width="13" style="155" bestFit="1" customWidth="1"/>
    <col min="10754" max="10999" width="8.25" style="155"/>
    <col min="11000" max="11000" width="4" style="155" bestFit="1" customWidth="1"/>
    <col min="11001" max="11001" width="9.875" style="155" customWidth="1"/>
    <col min="11002" max="11002" width="56.125" style="155" bestFit="1" customWidth="1"/>
    <col min="11003" max="11003" width="13" style="155" customWidth="1"/>
    <col min="11004" max="11004" width="11.25" style="155" bestFit="1" customWidth="1"/>
    <col min="11005" max="11005" width="11.75" style="155" customWidth="1"/>
    <col min="11006" max="11006" width="2.875" style="155" customWidth="1"/>
    <col min="11007" max="11007" width="13" style="155" bestFit="1" customWidth="1"/>
    <col min="11008" max="11008" width="14.875" style="155" bestFit="1" customWidth="1"/>
    <col min="11009" max="11009" width="13" style="155" bestFit="1" customWidth="1"/>
    <col min="11010" max="11255" width="8.25" style="155"/>
    <col min="11256" max="11256" width="4" style="155" bestFit="1" customWidth="1"/>
    <col min="11257" max="11257" width="9.875" style="155" customWidth="1"/>
    <col min="11258" max="11258" width="56.125" style="155" bestFit="1" customWidth="1"/>
    <col min="11259" max="11259" width="13" style="155" customWidth="1"/>
    <col min="11260" max="11260" width="11.25" style="155" bestFit="1" customWidth="1"/>
    <col min="11261" max="11261" width="11.75" style="155" customWidth="1"/>
    <col min="11262" max="11262" width="2.875" style="155" customWidth="1"/>
    <col min="11263" max="11263" width="13" style="155" bestFit="1" customWidth="1"/>
    <col min="11264" max="11264" width="14.875" style="155" bestFit="1" customWidth="1"/>
    <col min="11265" max="11265" width="13" style="155" bestFit="1" customWidth="1"/>
    <col min="11266" max="11511" width="8.25" style="155"/>
    <col min="11512" max="11512" width="4" style="155" bestFit="1" customWidth="1"/>
    <col min="11513" max="11513" width="9.875" style="155" customWidth="1"/>
    <col min="11514" max="11514" width="56.125" style="155" bestFit="1" customWidth="1"/>
    <col min="11515" max="11515" width="13" style="155" customWidth="1"/>
    <col min="11516" max="11516" width="11.25" style="155" bestFit="1" customWidth="1"/>
    <col min="11517" max="11517" width="11.75" style="155" customWidth="1"/>
    <col min="11518" max="11518" width="2.875" style="155" customWidth="1"/>
    <col min="11519" max="11519" width="13" style="155" bestFit="1" customWidth="1"/>
    <col min="11520" max="11520" width="14.875" style="155" bestFit="1" customWidth="1"/>
    <col min="11521" max="11521" width="13" style="155" bestFit="1" customWidth="1"/>
    <col min="11522" max="11767" width="8.25" style="155"/>
    <col min="11768" max="11768" width="4" style="155" bestFit="1" customWidth="1"/>
    <col min="11769" max="11769" width="9.875" style="155" customWidth="1"/>
    <col min="11770" max="11770" width="56.125" style="155" bestFit="1" customWidth="1"/>
    <col min="11771" max="11771" width="13" style="155" customWidth="1"/>
    <col min="11772" max="11772" width="11.25" style="155" bestFit="1" customWidth="1"/>
    <col min="11773" max="11773" width="11.75" style="155" customWidth="1"/>
    <col min="11774" max="11774" width="2.875" style="155" customWidth="1"/>
    <col min="11775" max="11775" width="13" style="155" bestFit="1" customWidth="1"/>
    <col min="11776" max="11776" width="14.875" style="155" bestFit="1" customWidth="1"/>
    <col min="11777" max="11777" width="13" style="155" bestFit="1" customWidth="1"/>
    <col min="11778" max="12023" width="8.25" style="155"/>
    <col min="12024" max="12024" width="4" style="155" bestFit="1" customWidth="1"/>
    <col min="12025" max="12025" width="9.875" style="155" customWidth="1"/>
    <col min="12026" max="12026" width="56.125" style="155" bestFit="1" customWidth="1"/>
    <col min="12027" max="12027" width="13" style="155" customWidth="1"/>
    <col min="12028" max="12028" width="11.25" style="155" bestFit="1" customWidth="1"/>
    <col min="12029" max="12029" width="11.75" style="155" customWidth="1"/>
    <col min="12030" max="12030" width="2.875" style="155" customWidth="1"/>
    <col min="12031" max="12031" width="13" style="155" bestFit="1" customWidth="1"/>
    <col min="12032" max="12032" width="14.875" style="155" bestFit="1" customWidth="1"/>
    <col min="12033" max="12033" width="13" style="155" bestFit="1" customWidth="1"/>
    <col min="12034" max="12279" width="8.25" style="155"/>
    <col min="12280" max="12280" width="4" style="155" bestFit="1" customWidth="1"/>
    <col min="12281" max="12281" width="9.875" style="155" customWidth="1"/>
    <col min="12282" max="12282" width="56.125" style="155" bestFit="1" customWidth="1"/>
    <col min="12283" max="12283" width="13" style="155" customWidth="1"/>
    <col min="12284" max="12284" width="11.25" style="155" bestFit="1" customWidth="1"/>
    <col min="12285" max="12285" width="11.75" style="155" customWidth="1"/>
    <col min="12286" max="12286" width="2.875" style="155" customWidth="1"/>
    <col min="12287" max="12287" width="13" style="155" bestFit="1" customWidth="1"/>
    <col min="12288" max="12288" width="14.875" style="155" bestFit="1" customWidth="1"/>
    <col min="12289" max="12289" width="13" style="155" bestFit="1" customWidth="1"/>
    <col min="12290" max="12535" width="8.25" style="155"/>
    <col min="12536" max="12536" width="4" style="155" bestFit="1" customWidth="1"/>
    <col min="12537" max="12537" width="9.875" style="155" customWidth="1"/>
    <col min="12538" max="12538" width="56.125" style="155" bestFit="1" customWidth="1"/>
    <col min="12539" max="12539" width="13" style="155" customWidth="1"/>
    <col min="12540" max="12540" width="11.25" style="155" bestFit="1" customWidth="1"/>
    <col min="12541" max="12541" width="11.75" style="155" customWidth="1"/>
    <col min="12542" max="12542" width="2.875" style="155" customWidth="1"/>
    <col min="12543" max="12543" width="13" style="155" bestFit="1" customWidth="1"/>
    <col min="12544" max="12544" width="14.875" style="155" bestFit="1" customWidth="1"/>
    <col min="12545" max="12545" width="13" style="155" bestFit="1" customWidth="1"/>
    <col min="12546" max="12791" width="8.25" style="155"/>
    <col min="12792" max="12792" width="4" style="155" bestFit="1" customWidth="1"/>
    <col min="12793" max="12793" width="9.875" style="155" customWidth="1"/>
    <col min="12794" max="12794" width="56.125" style="155" bestFit="1" customWidth="1"/>
    <col min="12795" max="12795" width="13" style="155" customWidth="1"/>
    <col min="12796" max="12796" width="11.25" style="155" bestFit="1" customWidth="1"/>
    <col min="12797" max="12797" width="11.75" style="155" customWidth="1"/>
    <col min="12798" max="12798" width="2.875" style="155" customWidth="1"/>
    <col min="12799" max="12799" width="13" style="155" bestFit="1" customWidth="1"/>
    <col min="12800" max="12800" width="14.875" style="155" bestFit="1" customWidth="1"/>
    <col min="12801" max="12801" width="13" style="155" bestFit="1" customWidth="1"/>
    <col min="12802" max="13047" width="8.25" style="155"/>
    <col min="13048" max="13048" width="4" style="155" bestFit="1" customWidth="1"/>
    <col min="13049" max="13049" width="9.875" style="155" customWidth="1"/>
    <col min="13050" max="13050" width="56.125" style="155" bestFit="1" customWidth="1"/>
    <col min="13051" max="13051" width="13" style="155" customWidth="1"/>
    <col min="13052" max="13052" width="11.25" style="155" bestFit="1" customWidth="1"/>
    <col min="13053" max="13053" width="11.75" style="155" customWidth="1"/>
    <col min="13054" max="13054" width="2.875" style="155" customWidth="1"/>
    <col min="13055" max="13055" width="13" style="155" bestFit="1" customWidth="1"/>
    <col min="13056" max="13056" width="14.875" style="155" bestFit="1" customWidth="1"/>
    <col min="13057" max="13057" width="13" style="155" bestFit="1" customWidth="1"/>
    <col min="13058" max="13303" width="8.25" style="155"/>
    <col min="13304" max="13304" width="4" style="155" bestFit="1" customWidth="1"/>
    <col min="13305" max="13305" width="9.875" style="155" customWidth="1"/>
    <col min="13306" max="13306" width="56.125" style="155" bestFit="1" customWidth="1"/>
    <col min="13307" max="13307" width="13" style="155" customWidth="1"/>
    <col min="13308" max="13308" width="11.25" style="155" bestFit="1" customWidth="1"/>
    <col min="13309" max="13309" width="11.75" style="155" customWidth="1"/>
    <col min="13310" max="13310" width="2.875" style="155" customWidth="1"/>
    <col min="13311" max="13311" width="13" style="155" bestFit="1" customWidth="1"/>
    <col min="13312" max="13312" width="14.875" style="155" bestFit="1" customWidth="1"/>
    <col min="13313" max="13313" width="13" style="155" bestFit="1" customWidth="1"/>
    <col min="13314" max="13559" width="8.25" style="155"/>
    <col min="13560" max="13560" width="4" style="155" bestFit="1" customWidth="1"/>
    <col min="13561" max="13561" width="9.875" style="155" customWidth="1"/>
    <col min="13562" max="13562" width="56.125" style="155" bestFit="1" customWidth="1"/>
    <col min="13563" max="13563" width="13" style="155" customWidth="1"/>
    <col min="13564" max="13564" width="11.25" style="155" bestFit="1" customWidth="1"/>
    <col min="13565" max="13565" width="11.75" style="155" customWidth="1"/>
    <col min="13566" max="13566" width="2.875" style="155" customWidth="1"/>
    <col min="13567" max="13567" width="13" style="155" bestFit="1" customWidth="1"/>
    <col min="13568" max="13568" width="14.875" style="155" bestFit="1" customWidth="1"/>
    <col min="13569" max="13569" width="13" style="155" bestFit="1" customWidth="1"/>
    <col min="13570" max="13815" width="8.25" style="155"/>
    <col min="13816" max="13816" width="4" style="155" bestFit="1" customWidth="1"/>
    <col min="13817" max="13817" width="9.875" style="155" customWidth="1"/>
    <col min="13818" max="13818" width="56.125" style="155" bestFit="1" customWidth="1"/>
    <col min="13819" max="13819" width="13" style="155" customWidth="1"/>
    <col min="13820" max="13820" width="11.25" style="155" bestFit="1" customWidth="1"/>
    <col min="13821" max="13821" width="11.75" style="155" customWidth="1"/>
    <col min="13822" max="13822" width="2.875" style="155" customWidth="1"/>
    <col min="13823" max="13823" width="13" style="155" bestFit="1" customWidth="1"/>
    <col min="13824" max="13824" width="14.875" style="155" bestFit="1" customWidth="1"/>
    <col min="13825" max="13825" width="13" style="155" bestFit="1" customWidth="1"/>
    <col min="13826" max="14071" width="8.25" style="155"/>
    <col min="14072" max="14072" width="4" style="155" bestFit="1" customWidth="1"/>
    <col min="14073" max="14073" width="9.875" style="155" customWidth="1"/>
    <col min="14074" max="14074" width="56.125" style="155" bestFit="1" customWidth="1"/>
    <col min="14075" max="14075" width="13" style="155" customWidth="1"/>
    <col min="14076" max="14076" width="11.25" style="155" bestFit="1" customWidth="1"/>
    <col min="14077" max="14077" width="11.75" style="155" customWidth="1"/>
    <col min="14078" max="14078" width="2.875" style="155" customWidth="1"/>
    <col min="14079" max="14079" width="13" style="155" bestFit="1" customWidth="1"/>
    <col min="14080" max="14080" width="14.875" style="155" bestFit="1" customWidth="1"/>
    <col min="14081" max="14081" width="13" style="155" bestFit="1" customWidth="1"/>
    <col min="14082" max="14327" width="8.25" style="155"/>
    <col min="14328" max="14328" width="4" style="155" bestFit="1" customWidth="1"/>
    <col min="14329" max="14329" width="9.875" style="155" customWidth="1"/>
    <col min="14330" max="14330" width="56.125" style="155" bestFit="1" customWidth="1"/>
    <col min="14331" max="14331" width="13" style="155" customWidth="1"/>
    <col min="14332" max="14332" width="11.25" style="155" bestFit="1" customWidth="1"/>
    <col min="14333" max="14333" width="11.75" style="155" customWidth="1"/>
    <col min="14334" max="14334" width="2.875" style="155" customWidth="1"/>
    <col min="14335" max="14335" width="13" style="155" bestFit="1" customWidth="1"/>
    <col min="14336" max="14336" width="14.875" style="155" bestFit="1" customWidth="1"/>
    <col min="14337" max="14337" width="13" style="155" bestFit="1" customWidth="1"/>
    <col min="14338" max="14583" width="8.25" style="155"/>
    <col min="14584" max="14584" width="4" style="155" bestFit="1" customWidth="1"/>
    <col min="14585" max="14585" width="9.875" style="155" customWidth="1"/>
    <col min="14586" max="14586" width="56.125" style="155" bestFit="1" customWidth="1"/>
    <col min="14587" max="14587" width="13" style="155" customWidth="1"/>
    <col min="14588" max="14588" width="11.25" style="155" bestFit="1" customWidth="1"/>
    <col min="14589" max="14589" width="11.75" style="155" customWidth="1"/>
    <col min="14590" max="14590" width="2.875" style="155" customWidth="1"/>
    <col min="14591" max="14591" width="13" style="155" bestFit="1" customWidth="1"/>
    <col min="14592" max="14592" width="14.875" style="155" bestFit="1" customWidth="1"/>
    <col min="14593" max="14593" width="13" style="155" bestFit="1" customWidth="1"/>
    <col min="14594" max="14839" width="8.25" style="155"/>
    <col min="14840" max="14840" width="4" style="155" bestFit="1" customWidth="1"/>
    <col min="14841" max="14841" width="9.875" style="155" customWidth="1"/>
    <col min="14842" max="14842" width="56.125" style="155" bestFit="1" customWidth="1"/>
    <col min="14843" max="14843" width="13" style="155" customWidth="1"/>
    <col min="14844" max="14844" width="11.25" style="155" bestFit="1" customWidth="1"/>
    <col min="14845" max="14845" width="11.75" style="155" customWidth="1"/>
    <col min="14846" max="14846" width="2.875" style="155" customWidth="1"/>
    <col min="14847" max="14847" width="13" style="155" bestFit="1" customWidth="1"/>
    <col min="14848" max="14848" width="14.875" style="155" bestFit="1" customWidth="1"/>
    <col min="14849" max="14849" width="13" style="155" bestFit="1" customWidth="1"/>
    <col min="14850" max="15095" width="8.25" style="155"/>
    <col min="15096" max="15096" width="4" style="155" bestFit="1" customWidth="1"/>
    <col min="15097" max="15097" width="9.875" style="155" customWidth="1"/>
    <col min="15098" max="15098" width="56.125" style="155" bestFit="1" customWidth="1"/>
    <col min="15099" max="15099" width="13" style="155" customWidth="1"/>
    <col min="15100" max="15100" width="11.25" style="155" bestFit="1" customWidth="1"/>
    <col min="15101" max="15101" width="11.75" style="155" customWidth="1"/>
    <col min="15102" max="15102" width="2.875" style="155" customWidth="1"/>
    <col min="15103" max="15103" width="13" style="155" bestFit="1" customWidth="1"/>
    <col min="15104" max="15104" width="14.875" style="155" bestFit="1" customWidth="1"/>
    <col min="15105" max="15105" width="13" style="155" bestFit="1" customWidth="1"/>
    <col min="15106" max="15351" width="8.25" style="155"/>
    <col min="15352" max="15352" width="4" style="155" bestFit="1" customWidth="1"/>
    <col min="15353" max="15353" width="9.875" style="155" customWidth="1"/>
    <col min="15354" max="15354" width="56.125" style="155" bestFit="1" customWidth="1"/>
    <col min="15355" max="15355" width="13" style="155" customWidth="1"/>
    <col min="15356" max="15356" width="11.25" style="155" bestFit="1" customWidth="1"/>
    <col min="15357" max="15357" width="11.75" style="155" customWidth="1"/>
    <col min="15358" max="15358" width="2.875" style="155" customWidth="1"/>
    <col min="15359" max="15359" width="13" style="155" bestFit="1" customWidth="1"/>
    <col min="15360" max="15360" width="14.875" style="155" bestFit="1" customWidth="1"/>
    <col min="15361" max="15361" width="13" style="155" bestFit="1" customWidth="1"/>
    <col min="15362" max="15607" width="8.25" style="155"/>
    <col min="15608" max="15608" width="4" style="155" bestFit="1" customWidth="1"/>
    <col min="15609" max="15609" width="9.875" style="155" customWidth="1"/>
    <col min="15610" max="15610" width="56.125" style="155" bestFit="1" customWidth="1"/>
    <col min="15611" max="15611" width="13" style="155" customWidth="1"/>
    <col min="15612" max="15612" width="11.25" style="155" bestFit="1" customWidth="1"/>
    <col min="15613" max="15613" width="11.75" style="155" customWidth="1"/>
    <col min="15614" max="15614" width="2.875" style="155" customWidth="1"/>
    <col min="15615" max="15615" width="13" style="155" bestFit="1" customWidth="1"/>
    <col min="15616" max="15616" width="14.875" style="155" bestFit="1" customWidth="1"/>
    <col min="15617" max="15617" width="13" style="155" bestFit="1" customWidth="1"/>
    <col min="15618" max="15863" width="8.25" style="155"/>
    <col min="15864" max="15864" width="4" style="155" bestFit="1" customWidth="1"/>
    <col min="15865" max="15865" width="9.875" style="155" customWidth="1"/>
    <col min="15866" max="15866" width="56.125" style="155" bestFit="1" customWidth="1"/>
    <col min="15867" max="15867" width="13" style="155" customWidth="1"/>
    <col min="15868" max="15868" width="11.25" style="155" bestFit="1" customWidth="1"/>
    <col min="15869" max="15869" width="11.75" style="155" customWidth="1"/>
    <col min="15870" max="15870" width="2.875" style="155" customWidth="1"/>
    <col min="15871" max="15871" width="13" style="155" bestFit="1" customWidth="1"/>
    <col min="15872" max="15872" width="14.875" style="155" bestFit="1" customWidth="1"/>
    <col min="15873" max="15873" width="13" style="155" bestFit="1" customWidth="1"/>
    <col min="15874" max="16119" width="8.25" style="155"/>
    <col min="16120" max="16120" width="4" style="155" bestFit="1" customWidth="1"/>
    <col min="16121" max="16121" width="9.875" style="155" customWidth="1"/>
    <col min="16122" max="16122" width="56.125" style="155" bestFit="1" customWidth="1"/>
    <col min="16123" max="16123" width="13" style="155" customWidth="1"/>
    <col min="16124" max="16124" width="11.25" style="155" bestFit="1" customWidth="1"/>
    <col min="16125" max="16125" width="11.75" style="155" customWidth="1"/>
    <col min="16126" max="16126" width="2.875" style="155" customWidth="1"/>
    <col min="16127" max="16127" width="13" style="155" bestFit="1" customWidth="1"/>
    <col min="16128" max="16128" width="14.875" style="155" bestFit="1" customWidth="1"/>
    <col min="16129" max="16129" width="13" style="155" bestFit="1" customWidth="1"/>
    <col min="16130" max="16384" width="8.25" style="155"/>
  </cols>
  <sheetData>
    <row r="1" spans="1:7">
      <c r="A1" s="306" t="s">
        <v>80</v>
      </c>
      <c r="B1" s="306"/>
      <c r="C1" s="306"/>
      <c r="D1" s="306"/>
      <c r="E1" s="306"/>
      <c r="F1" s="306"/>
    </row>
    <row r="2" spans="1:7">
      <c r="A2" s="306" t="s">
        <v>205</v>
      </c>
      <c r="B2" s="306"/>
      <c r="C2" s="306"/>
      <c r="D2" s="306"/>
      <c r="E2" s="306"/>
      <c r="F2" s="306"/>
    </row>
    <row r="3" spans="1:7">
      <c r="A3" s="284"/>
      <c r="B3" s="284"/>
      <c r="C3" s="284"/>
      <c r="D3" s="284"/>
      <c r="E3" s="284"/>
      <c r="F3" s="284"/>
      <c r="G3" s="284"/>
    </row>
    <row r="4" spans="1:7">
      <c r="A4" s="130"/>
      <c r="B4" s="130"/>
      <c r="C4" s="130"/>
      <c r="D4" s="130"/>
      <c r="E4" s="130"/>
      <c r="F4" s="130"/>
      <c r="G4" s="130"/>
    </row>
    <row r="5" spans="1:7" s="133" customFormat="1" ht="51">
      <c r="A5" s="131" t="s">
        <v>167</v>
      </c>
      <c r="B5" s="131" t="s">
        <v>206</v>
      </c>
      <c r="C5" s="132" t="s">
        <v>50</v>
      </c>
      <c r="D5" s="131" t="s">
        <v>207</v>
      </c>
      <c r="E5" s="131" t="s">
        <v>208</v>
      </c>
      <c r="F5" s="131" t="s">
        <v>594</v>
      </c>
      <c r="G5" s="131" t="s">
        <v>503</v>
      </c>
    </row>
    <row r="6" spans="1:7">
      <c r="D6" s="133" t="s">
        <v>172</v>
      </c>
      <c r="E6" s="133" t="s">
        <v>173</v>
      </c>
      <c r="F6" s="133" t="s">
        <v>174</v>
      </c>
      <c r="G6" s="133" t="s">
        <v>504</v>
      </c>
    </row>
    <row r="7" spans="1:7">
      <c r="A7" s="284">
        <v>1</v>
      </c>
      <c r="B7" s="284">
        <v>7</v>
      </c>
      <c r="C7" s="155" t="s">
        <v>27</v>
      </c>
    </row>
    <row r="8" spans="1:7">
      <c r="A8" s="284">
        <f>+A7+1</f>
        <v>2</v>
      </c>
      <c r="B8" s="284">
        <v>7</v>
      </c>
      <c r="C8" s="134" t="s">
        <v>209</v>
      </c>
      <c r="D8" s="135">
        <v>43221</v>
      </c>
      <c r="E8" s="136">
        <v>7.49</v>
      </c>
      <c r="F8" s="136">
        <f>+'Exhibit No.__(JAP-Res RD)'!G14</f>
        <v>7.49</v>
      </c>
      <c r="G8" s="136">
        <f>+F8-E8</f>
        <v>0</v>
      </c>
    </row>
    <row r="9" spans="1:7">
      <c r="A9" s="284">
        <f t="shared" ref="A9:A72" si="0">+A8+1</f>
        <v>3</v>
      </c>
      <c r="B9" s="284">
        <v>7</v>
      </c>
      <c r="C9" s="134" t="s">
        <v>210</v>
      </c>
      <c r="D9" s="135">
        <f>+$D$8</f>
        <v>43221</v>
      </c>
      <c r="E9" s="136">
        <v>17.989999999999998</v>
      </c>
      <c r="F9" s="136">
        <f>+'Exhibit No.__(JAP-Res RD)'!G15</f>
        <v>17.989999999999998</v>
      </c>
      <c r="G9" s="136">
        <f>+F9-E9</f>
        <v>0</v>
      </c>
    </row>
    <row r="10" spans="1:7">
      <c r="A10" s="284">
        <f t="shared" si="0"/>
        <v>4</v>
      </c>
      <c r="B10" s="284">
        <f t="shared" ref="B10:B12" si="1">+$B$7</f>
        <v>7</v>
      </c>
      <c r="C10" s="134"/>
      <c r="D10" s="134"/>
      <c r="E10" s="136"/>
      <c r="F10" s="136"/>
      <c r="G10" s="136"/>
    </row>
    <row r="11" spans="1:7">
      <c r="A11" s="284">
        <f t="shared" si="0"/>
        <v>5</v>
      </c>
      <c r="B11" s="284">
        <f t="shared" si="1"/>
        <v>7</v>
      </c>
      <c r="C11" s="134" t="s">
        <v>268</v>
      </c>
      <c r="D11" s="135">
        <f t="shared" ref="D11:D12" si="2">+$D$8</f>
        <v>43221</v>
      </c>
      <c r="E11" s="137">
        <v>8.7335999999999997E-2</v>
      </c>
      <c r="F11" s="137">
        <f>+'Exhibit No.__(JAP-Res RD)'!G18</f>
        <v>8.7335999999999997E-2</v>
      </c>
      <c r="G11" s="137">
        <f t="shared" ref="G11:G12" si="3">+F11-E11</f>
        <v>0</v>
      </c>
    </row>
    <row r="12" spans="1:7">
      <c r="A12" s="284">
        <f t="shared" si="0"/>
        <v>6</v>
      </c>
      <c r="B12" s="284">
        <f t="shared" si="1"/>
        <v>7</v>
      </c>
      <c r="C12" s="134" t="s">
        <v>269</v>
      </c>
      <c r="D12" s="135">
        <f t="shared" si="2"/>
        <v>43221</v>
      </c>
      <c r="E12" s="137">
        <v>0.106297</v>
      </c>
      <c r="F12" s="137">
        <f>+'Exhibit No.__(JAP-Res RD)'!G19</f>
        <v>0.12478300000000001</v>
      </c>
      <c r="G12" s="137">
        <f t="shared" si="3"/>
        <v>1.8486000000000002E-2</v>
      </c>
    </row>
    <row r="13" spans="1:7">
      <c r="A13" s="284">
        <f t="shared" si="0"/>
        <v>7</v>
      </c>
    </row>
    <row r="14" spans="1:7">
      <c r="A14" s="284">
        <f t="shared" si="0"/>
        <v>8</v>
      </c>
      <c r="B14" s="284" t="s">
        <v>211</v>
      </c>
      <c r="C14" s="138" t="s">
        <v>212</v>
      </c>
      <c r="D14" s="138"/>
      <c r="E14" s="136"/>
      <c r="F14" s="136"/>
      <c r="G14" s="136"/>
    </row>
    <row r="15" spans="1:7">
      <c r="A15" s="284">
        <f t="shared" si="0"/>
        <v>9</v>
      </c>
      <c r="B15" s="284" t="str">
        <f>+$B$14</f>
        <v>24 (08)</v>
      </c>
      <c r="C15" s="134" t="s">
        <v>209</v>
      </c>
      <c r="D15" s="135">
        <f t="shared" ref="D15:D16" si="4">+$D$8</f>
        <v>43221</v>
      </c>
      <c r="E15" s="136">
        <v>9.8000000000000007</v>
      </c>
      <c r="F15" s="136">
        <f>+'Exhibit No.__(JAP-SV RD)'!G15</f>
        <v>10.54</v>
      </c>
      <c r="G15" s="136">
        <f>+F15-E15</f>
        <v>0.73999999999999844</v>
      </c>
    </row>
    <row r="16" spans="1:7">
      <c r="A16" s="284">
        <f t="shared" si="0"/>
        <v>10</v>
      </c>
      <c r="B16" s="284" t="str">
        <f>+$B$14</f>
        <v>24 (08)</v>
      </c>
      <c r="C16" s="134" t="s">
        <v>210</v>
      </c>
      <c r="D16" s="135">
        <f t="shared" si="4"/>
        <v>43221</v>
      </c>
      <c r="E16" s="136">
        <v>24.9</v>
      </c>
      <c r="F16" s="136">
        <f>+'Exhibit No.__(JAP-SV RD)'!G16</f>
        <v>26.78</v>
      </c>
      <c r="G16" s="136">
        <f>+F16-E16</f>
        <v>1.8800000000000026</v>
      </c>
    </row>
    <row r="17" spans="1:7">
      <c r="A17" s="284">
        <f t="shared" si="0"/>
        <v>11</v>
      </c>
      <c r="B17" s="284" t="str">
        <f>+$B$14</f>
        <v>24 (08)</v>
      </c>
      <c r="C17" s="134"/>
      <c r="D17" s="134"/>
      <c r="E17" s="136"/>
      <c r="F17" s="136"/>
      <c r="G17" s="136"/>
    </row>
    <row r="18" spans="1:7">
      <c r="A18" s="284">
        <f t="shared" si="0"/>
        <v>12</v>
      </c>
      <c r="B18" s="284" t="str">
        <f>+$B$14</f>
        <v>24 (08)</v>
      </c>
      <c r="C18" s="134" t="s">
        <v>213</v>
      </c>
      <c r="D18" s="135">
        <f t="shared" ref="D18:D19" si="5">+$D$8</f>
        <v>43221</v>
      </c>
      <c r="E18" s="137">
        <v>9.071499999999999E-2</v>
      </c>
      <c r="F18" s="137">
        <f>+'Exhibit No.__(JAP-SV RD)'!G19</f>
        <v>9.7614999999999993E-2</v>
      </c>
      <c r="G18" s="137">
        <f t="shared" ref="G18:G19" si="6">+F18-E18</f>
        <v>6.9000000000000034E-3</v>
      </c>
    </row>
    <row r="19" spans="1:7">
      <c r="A19" s="284">
        <f t="shared" si="0"/>
        <v>13</v>
      </c>
      <c r="B19" s="284" t="str">
        <f>+$B$14</f>
        <v>24 (08)</v>
      </c>
      <c r="C19" s="134" t="s">
        <v>214</v>
      </c>
      <c r="D19" s="135">
        <f t="shared" si="5"/>
        <v>43221</v>
      </c>
      <c r="E19" s="137">
        <v>8.7578000000000003E-2</v>
      </c>
      <c r="F19" s="137">
        <f>+'Exhibit No.__(JAP-SV RD)'!G20</f>
        <v>9.4203999999999996E-2</v>
      </c>
      <c r="G19" s="137">
        <f t="shared" si="6"/>
        <v>6.625999999999993E-3</v>
      </c>
    </row>
    <row r="20" spans="1:7">
      <c r="A20" s="284">
        <f t="shared" si="0"/>
        <v>14</v>
      </c>
    </row>
    <row r="21" spans="1:7">
      <c r="A21" s="284">
        <f t="shared" si="0"/>
        <v>15</v>
      </c>
      <c r="B21" s="139" t="s">
        <v>215</v>
      </c>
      <c r="C21" s="138" t="s">
        <v>216</v>
      </c>
      <c r="D21" s="138"/>
    </row>
    <row r="22" spans="1:7">
      <c r="A22" s="284">
        <f t="shared" si="0"/>
        <v>16</v>
      </c>
      <c r="B22" s="139" t="str">
        <f>+$B$21</f>
        <v>25 (7A) (11)</v>
      </c>
      <c r="C22" s="134" t="s">
        <v>217</v>
      </c>
      <c r="D22" s="135">
        <f>+$D$8</f>
        <v>43221</v>
      </c>
      <c r="E22" s="136">
        <v>52.3</v>
      </c>
      <c r="F22" s="136">
        <f>+'Exhibit No.__(JAP-SV RD)'!G31</f>
        <v>55.27</v>
      </c>
      <c r="G22" s="136">
        <f>+F22-E22</f>
        <v>2.970000000000006</v>
      </c>
    </row>
    <row r="23" spans="1:7">
      <c r="A23" s="284">
        <f t="shared" si="0"/>
        <v>17</v>
      </c>
      <c r="B23" s="139" t="str">
        <f t="shared" ref="B23:B32" si="7">+$B$21</f>
        <v>25 (7A) (11)</v>
      </c>
      <c r="C23" s="134"/>
      <c r="D23" s="134"/>
      <c r="E23" s="136">
        <v>0</v>
      </c>
      <c r="F23" s="136"/>
      <c r="G23" s="136"/>
    </row>
    <row r="24" spans="1:7">
      <c r="A24" s="284">
        <f t="shared" si="0"/>
        <v>18</v>
      </c>
      <c r="B24" s="139" t="str">
        <f t="shared" si="7"/>
        <v>25 (7A) (11)</v>
      </c>
      <c r="C24" s="134" t="s">
        <v>218</v>
      </c>
      <c r="D24" s="135">
        <f t="shared" ref="D24:D26" si="8">+$D$8</f>
        <v>43221</v>
      </c>
      <c r="E24" s="137">
        <v>9.0753E-2</v>
      </c>
      <c r="F24" s="137">
        <f>+'Exhibit No.__(JAP-SV RD)'!G33</f>
        <v>9.4302999999999998E-2</v>
      </c>
      <c r="G24" s="137">
        <f t="shared" ref="G24:G26" si="9">+F24-E24</f>
        <v>3.5499999999999976E-3</v>
      </c>
    </row>
    <row r="25" spans="1:7">
      <c r="A25" s="284">
        <f t="shared" si="0"/>
        <v>19</v>
      </c>
      <c r="B25" s="139" t="str">
        <f t="shared" si="7"/>
        <v>25 (7A) (11)</v>
      </c>
      <c r="C25" s="134" t="s">
        <v>219</v>
      </c>
      <c r="D25" s="135">
        <f t="shared" si="8"/>
        <v>43221</v>
      </c>
      <c r="E25" s="137">
        <v>8.2225999999999994E-2</v>
      </c>
      <c r="F25" s="137">
        <f>+'Exhibit No.__(JAP-SV RD)'!G34</f>
        <v>8.4644999999999998E-2</v>
      </c>
      <c r="G25" s="137">
        <f t="shared" si="9"/>
        <v>2.4190000000000045E-3</v>
      </c>
    </row>
    <row r="26" spans="1:7">
      <c r="A26" s="284">
        <f t="shared" si="0"/>
        <v>20</v>
      </c>
      <c r="B26" s="139" t="str">
        <f t="shared" si="7"/>
        <v>25 (7A) (11)</v>
      </c>
      <c r="C26" s="134" t="s">
        <v>220</v>
      </c>
      <c r="D26" s="135">
        <f t="shared" si="8"/>
        <v>43221</v>
      </c>
      <c r="E26" s="137">
        <v>6.4072000000000004E-2</v>
      </c>
      <c r="F26" s="137">
        <f>+'Exhibit No.__(JAP-SV RD)'!G35</f>
        <v>6.7708000000000004E-2</v>
      </c>
      <c r="G26" s="137">
        <f t="shared" si="9"/>
        <v>3.6360000000000003E-3</v>
      </c>
    </row>
    <row r="27" spans="1:7">
      <c r="A27" s="284">
        <f t="shared" si="0"/>
        <v>21</v>
      </c>
      <c r="B27" s="139" t="str">
        <f t="shared" si="7"/>
        <v>25 (7A) (11)</v>
      </c>
      <c r="C27" s="140"/>
      <c r="D27" s="135"/>
    </row>
    <row r="28" spans="1:7">
      <c r="A28" s="284">
        <f t="shared" si="0"/>
        <v>22</v>
      </c>
      <c r="B28" s="139" t="str">
        <f t="shared" si="7"/>
        <v>25 (7A) (11)</v>
      </c>
      <c r="C28" s="134" t="s">
        <v>221</v>
      </c>
      <c r="D28" s="135">
        <f t="shared" ref="D28:D30" si="10">+$D$8</f>
        <v>43221</v>
      </c>
      <c r="E28" s="136">
        <v>0</v>
      </c>
      <c r="F28" s="136">
        <v>0</v>
      </c>
      <c r="G28" s="136">
        <f t="shared" ref="G28:G30" si="11">+F28-E28</f>
        <v>0</v>
      </c>
    </row>
    <row r="29" spans="1:7">
      <c r="A29" s="284">
        <f t="shared" si="0"/>
        <v>23</v>
      </c>
      <c r="B29" s="139" t="str">
        <f t="shared" si="7"/>
        <v>25 (7A) (11)</v>
      </c>
      <c r="C29" s="134" t="s">
        <v>222</v>
      </c>
      <c r="D29" s="135">
        <f t="shared" si="10"/>
        <v>43221</v>
      </c>
      <c r="E29" s="136">
        <v>9.42</v>
      </c>
      <c r="F29" s="136">
        <f>+'Exhibit No.__(JAP-SV RD)'!G41</f>
        <v>10.67</v>
      </c>
      <c r="G29" s="136">
        <f t="shared" si="11"/>
        <v>1.25</v>
      </c>
    </row>
    <row r="30" spans="1:7">
      <c r="A30" s="284">
        <f t="shared" si="0"/>
        <v>24</v>
      </c>
      <c r="B30" s="139" t="str">
        <f t="shared" si="7"/>
        <v>25 (7A) (11)</v>
      </c>
      <c r="C30" s="134" t="s">
        <v>223</v>
      </c>
      <c r="D30" s="135">
        <f t="shared" si="10"/>
        <v>43221</v>
      </c>
      <c r="E30" s="136">
        <v>6.29</v>
      </c>
      <c r="F30" s="136">
        <f>+'Exhibit No.__(JAP-SV RD)'!G42</f>
        <v>7.12</v>
      </c>
      <c r="G30" s="136">
        <f t="shared" si="11"/>
        <v>0.83000000000000007</v>
      </c>
    </row>
    <row r="31" spans="1:7">
      <c r="A31" s="284">
        <f t="shared" si="0"/>
        <v>25</v>
      </c>
      <c r="B31" s="139" t="str">
        <f t="shared" si="7"/>
        <v>25 (7A) (11)</v>
      </c>
      <c r="C31" s="134"/>
      <c r="D31" s="134"/>
      <c r="E31" s="136"/>
      <c r="F31" s="136"/>
      <c r="G31" s="136"/>
    </row>
    <row r="32" spans="1:7">
      <c r="A32" s="284">
        <f t="shared" si="0"/>
        <v>26</v>
      </c>
      <c r="B32" s="139" t="str">
        <f t="shared" si="7"/>
        <v>25 (7A) (11)</v>
      </c>
      <c r="C32" s="134" t="s">
        <v>224</v>
      </c>
      <c r="D32" s="135">
        <f>+$D$8</f>
        <v>43221</v>
      </c>
      <c r="E32" s="141">
        <v>2.96E-3</v>
      </c>
      <c r="F32" s="141">
        <f>+'Exhibit No.__(JAP-SV RD)'!G45</f>
        <v>3.3500000000000001E-3</v>
      </c>
      <c r="G32" s="141">
        <f>+F32-E32</f>
        <v>3.9000000000000016E-4</v>
      </c>
    </row>
    <row r="33" spans="1:7">
      <c r="A33" s="284">
        <f t="shared" si="0"/>
        <v>27</v>
      </c>
    </row>
    <row r="34" spans="1:7">
      <c r="A34" s="284">
        <f t="shared" si="0"/>
        <v>28</v>
      </c>
      <c r="B34" s="284" t="s">
        <v>225</v>
      </c>
      <c r="C34" s="138" t="s">
        <v>226</v>
      </c>
      <c r="D34" s="138"/>
    </row>
    <row r="35" spans="1:7">
      <c r="A35" s="284">
        <f t="shared" si="0"/>
        <v>29</v>
      </c>
      <c r="B35" s="284" t="str">
        <f>+$B$34</f>
        <v>26 (12)</v>
      </c>
      <c r="C35" s="134" t="s">
        <v>217</v>
      </c>
      <c r="D35" s="135">
        <f>+$D$8</f>
        <v>43221</v>
      </c>
      <c r="E35" s="136">
        <v>105.74</v>
      </c>
      <c r="F35" s="136">
        <f>+'Exhibit No.__(JAP-SV RD)'!G65</f>
        <v>111.74</v>
      </c>
      <c r="G35" s="136">
        <f>+F35-E35</f>
        <v>6</v>
      </c>
    </row>
    <row r="36" spans="1:7">
      <c r="A36" s="284">
        <f t="shared" si="0"/>
        <v>30</v>
      </c>
      <c r="B36" s="284" t="str">
        <f t="shared" ref="B36:B56" si="12">+$B$34</f>
        <v>26 (12)</v>
      </c>
      <c r="C36" s="134"/>
      <c r="D36" s="134"/>
      <c r="E36" s="136"/>
      <c r="F36" s="136"/>
      <c r="G36" s="136"/>
    </row>
    <row r="37" spans="1:7">
      <c r="A37" s="284">
        <f t="shared" si="0"/>
        <v>31</v>
      </c>
      <c r="B37" s="284" t="str">
        <f t="shared" si="12"/>
        <v>26 (12)</v>
      </c>
      <c r="C37" s="134" t="s">
        <v>227</v>
      </c>
      <c r="D37" s="135">
        <f>+$D$8</f>
        <v>43221</v>
      </c>
      <c r="E37" s="137">
        <v>5.7180999999999996E-2</v>
      </c>
      <c r="F37" s="137">
        <f>+'Exhibit No.__(JAP-SV RD)'!G67</f>
        <v>6.0413000000000001E-2</v>
      </c>
      <c r="G37" s="137">
        <f>+F37-E37</f>
        <v>3.2320000000000057E-3</v>
      </c>
    </row>
    <row r="38" spans="1:7">
      <c r="A38" s="284">
        <f t="shared" si="0"/>
        <v>32</v>
      </c>
      <c r="B38" s="284" t="str">
        <f t="shared" si="12"/>
        <v>26 (12)</v>
      </c>
      <c r="C38" s="140"/>
      <c r="D38" s="140"/>
    </row>
    <row r="39" spans="1:7">
      <c r="A39" s="284">
        <f t="shared" si="0"/>
        <v>33</v>
      </c>
      <c r="B39" s="284" t="str">
        <f t="shared" si="12"/>
        <v>26 (12)</v>
      </c>
      <c r="C39" s="134" t="s">
        <v>228</v>
      </c>
      <c r="D39" s="135">
        <f t="shared" ref="D39:D44" si="13">+$D$8</f>
        <v>43221</v>
      </c>
      <c r="E39" s="136">
        <v>11.91</v>
      </c>
      <c r="F39" s="136">
        <f>+'Exhibit No.__(JAP-SV RD)'!G73</f>
        <v>12.59</v>
      </c>
      <c r="G39" s="136">
        <f>+F39-E39</f>
        <v>0.67999999999999972</v>
      </c>
    </row>
    <row r="40" spans="1:7">
      <c r="A40" s="284">
        <f t="shared" si="0"/>
        <v>34</v>
      </c>
      <c r="B40" s="284" t="str">
        <f t="shared" si="12"/>
        <v>26 (12)</v>
      </c>
      <c r="C40" s="150" t="s">
        <v>609</v>
      </c>
      <c r="D40" s="135">
        <f t="shared" si="13"/>
        <v>43221</v>
      </c>
      <c r="E40" s="136"/>
      <c r="F40" s="136">
        <v>7.81</v>
      </c>
    </row>
    <row r="41" spans="1:7">
      <c r="A41" s="284">
        <f t="shared" si="0"/>
        <v>35</v>
      </c>
      <c r="B41" s="284" t="str">
        <f t="shared" si="12"/>
        <v>26 (12)</v>
      </c>
      <c r="C41" s="150" t="s">
        <v>610</v>
      </c>
      <c r="D41" s="135">
        <f t="shared" si="13"/>
        <v>43221</v>
      </c>
      <c r="E41" s="136"/>
      <c r="F41" s="136">
        <v>4.78</v>
      </c>
      <c r="G41" s="136"/>
    </row>
    <row r="42" spans="1:7">
      <c r="A42" s="284">
        <f t="shared" si="0"/>
        <v>36</v>
      </c>
      <c r="B42" s="284" t="str">
        <f t="shared" si="12"/>
        <v>26 (12)</v>
      </c>
      <c r="C42" s="134" t="s">
        <v>229</v>
      </c>
      <c r="D42" s="135">
        <f t="shared" si="13"/>
        <v>43221</v>
      </c>
      <c r="E42" s="136">
        <v>7.94</v>
      </c>
      <c r="F42" s="136">
        <f>+'Exhibit No.__(JAP-SV RD)'!G74</f>
        <v>8.39</v>
      </c>
      <c r="G42" s="136">
        <f>+F42-E42</f>
        <v>0.45000000000000018</v>
      </c>
    </row>
    <row r="43" spans="1:7">
      <c r="A43" s="284">
        <f t="shared" si="0"/>
        <v>37</v>
      </c>
      <c r="B43" s="284" t="str">
        <f t="shared" si="12"/>
        <v>26 (12)</v>
      </c>
      <c r="C43" s="150" t="s">
        <v>609</v>
      </c>
      <c r="D43" s="135">
        <f t="shared" si="13"/>
        <v>43221</v>
      </c>
      <c r="E43" s="136"/>
      <c r="F43" s="136">
        <v>5.21</v>
      </c>
      <c r="G43" s="136"/>
    </row>
    <row r="44" spans="1:7">
      <c r="A44" s="284">
        <f t="shared" si="0"/>
        <v>38</v>
      </c>
      <c r="B44" s="284" t="str">
        <f t="shared" si="12"/>
        <v>26 (12)</v>
      </c>
      <c r="C44" s="150" t="s">
        <v>610</v>
      </c>
      <c r="D44" s="135">
        <f t="shared" si="13"/>
        <v>43221</v>
      </c>
      <c r="E44" s="136"/>
      <c r="F44" s="136">
        <v>3.18</v>
      </c>
      <c r="G44" s="136"/>
    </row>
    <row r="45" spans="1:7">
      <c r="A45" s="284">
        <f t="shared" si="0"/>
        <v>39</v>
      </c>
      <c r="B45" s="284" t="str">
        <f t="shared" si="12"/>
        <v>26 (12)</v>
      </c>
      <c r="C45" s="134"/>
      <c r="D45" s="134"/>
      <c r="E45" s="136"/>
      <c r="F45" s="136"/>
      <c r="G45" s="136"/>
    </row>
    <row r="46" spans="1:7">
      <c r="A46" s="284">
        <f t="shared" si="0"/>
        <v>40</v>
      </c>
      <c r="B46" s="284" t="str">
        <f t="shared" si="12"/>
        <v>26 (12)</v>
      </c>
      <c r="C46" s="134" t="s">
        <v>224</v>
      </c>
      <c r="D46" s="135">
        <f>+$D$8</f>
        <v>43221</v>
      </c>
      <c r="E46" s="141">
        <v>1.2600000000000001E-3</v>
      </c>
      <c r="F46" s="141">
        <f>+'Exhibit No.__(JAP-SV RD)'!G77</f>
        <v>1.33E-3</v>
      </c>
      <c r="G46" s="141">
        <f>+F46-E46</f>
        <v>6.9999999999999967E-5</v>
      </c>
    </row>
    <row r="47" spans="1:7">
      <c r="A47" s="284">
        <f t="shared" si="0"/>
        <v>41</v>
      </c>
      <c r="B47" s="284" t="str">
        <f t="shared" si="12"/>
        <v>26 (12)</v>
      </c>
      <c r="C47" s="134"/>
      <c r="D47" s="135"/>
      <c r="E47" s="141">
        <v>0</v>
      </c>
      <c r="F47" s="141"/>
      <c r="G47" s="141"/>
    </row>
    <row r="48" spans="1:7">
      <c r="A48" s="284">
        <f t="shared" si="0"/>
        <v>42</v>
      </c>
      <c r="B48" s="284" t="str">
        <f t="shared" si="12"/>
        <v>26 (12)</v>
      </c>
      <c r="C48" s="134" t="s">
        <v>230</v>
      </c>
      <c r="D48" s="135"/>
      <c r="E48" s="141"/>
      <c r="F48" s="141"/>
      <c r="G48" s="141"/>
    </row>
    <row r="49" spans="1:7">
      <c r="A49" s="284">
        <f t="shared" si="0"/>
        <v>43</v>
      </c>
      <c r="B49" s="284" t="str">
        <f t="shared" si="12"/>
        <v>26 (12)</v>
      </c>
      <c r="C49" s="134" t="s">
        <v>231</v>
      </c>
      <c r="D49" s="135">
        <f t="shared" ref="D49:D56" si="14">+$D$8</f>
        <v>43221</v>
      </c>
      <c r="E49" s="136">
        <v>237.92000000000002</v>
      </c>
      <c r="F49" s="136">
        <f>+'Exhibit No.__(JAP-SV RD)'!G86</f>
        <v>257.92</v>
      </c>
      <c r="G49" s="136">
        <f t="shared" ref="G49:G56" si="15">+F49-E49</f>
        <v>20</v>
      </c>
    </row>
    <row r="50" spans="1:7">
      <c r="A50" s="284">
        <f t="shared" si="0"/>
        <v>44</v>
      </c>
      <c r="B50" s="284" t="str">
        <f t="shared" si="12"/>
        <v>26 (12)</v>
      </c>
      <c r="C50" s="134" t="s">
        <v>232</v>
      </c>
      <c r="D50" s="135">
        <f t="shared" si="14"/>
        <v>43221</v>
      </c>
      <c r="E50" s="136">
        <v>-0.39</v>
      </c>
      <c r="F50" s="136">
        <f>+'Exhibit No.__(JAP-SV RD)'!G98</f>
        <v>-0.22</v>
      </c>
      <c r="G50" s="136">
        <f t="shared" si="15"/>
        <v>0.17</v>
      </c>
    </row>
    <row r="51" spans="1:7">
      <c r="A51" s="284">
        <f t="shared" si="0"/>
        <v>45</v>
      </c>
      <c r="B51" s="284" t="str">
        <f t="shared" si="12"/>
        <v>26 (12)</v>
      </c>
      <c r="C51" s="134" t="s">
        <v>233</v>
      </c>
      <c r="D51" s="135">
        <f t="shared" si="14"/>
        <v>43221</v>
      </c>
      <c r="E51" s="152">
        <v>3.9399999999999998E-2</v>
      </c>
      <c r="F51" s="152">
        <f>+'Exhibit No.__(JAP-SV RD)'!L109</f>
        <v>2.1000000000000001E-2</v>
      </c>
      <c r="G51" s="152">
        <f t="shared" si="15"/>
        <v>-1.8399999999999996E-2</v>
      </c>
    </row>
    <row r="52" spans="1:7">
      <c r="A52" s="284">
        <f t="shared" si="0"/>
        <v>46</v>
      </c>
      <c r="B52" s="284" t="str">
        <f t="shared" si="12"/>
        <v>26 (12)</v>
      </c>
      <c r="C52" s="142" t="s">
        <v>234</v>
      </c>
      <c r="D52" s="135">
        <f t="shared" si="14"/>
        <v>43221</v>
      </c>
      <c r="E52" s="136">
        <v>343.66</v>
      </c>
      <c r="F52" s="136">
        <f>+F49+F35</f>
        <v>369.66</v>
      </c>
      <c r="G52" s="136">
        <f t="shared" si="15"/>
        <v>26</v>
      </c>
    </row>
    <row r="53" spans="1:7">
      <c r="A53" s="284">
        <f t="shared" si="0"/>
        <v>47</v>
      </c>
      <c r="B53" s="284" t="str">
        <f t="shared" si="12"/>
        <v>26 (12)</v>
      </c>
      <c r="C53" s="134" t="s">
        <v>235</v>
      </c>
      <c r="D53" s="135">
        <f t="shared" si="14"/>
        <v>43221</v>
      </c>
      <c r="E53" s="136">
        <v>11.52</v>
      </c>
      <c r="F53" s="136">
        <f>+F50+F39</f>
        <v>12.37</v>
      </c>
      <c r="G53" s="136">
        <f t="shared" si="15"/>
        <v>0.84999999999999964</v>
      </c>
    </row>
    <row r="54" spans="1:7">
      <c r="A54" s="284">
        <f t="shared" si="0"/>
        <v>48</v>
      </c>
      <c r="B54" s="284" t="str">
        <f t="shared" si="12"/>
        <v>26 (12)</v>
      </c>
      <c r="C54" s="134" t="s">
        <v>236</v>
      </c>
      <c r="D54" s="135">
        <f t="shared" si="14"/>
        <v>43221</v>
      </c>
      <c r="E54" s="136">
        <v>7.5500000000000007</v>
      </c>
      <c r="F54" s="136">
        <f>+F50+F42</f>
        <v>8.17</v>
      </c>
      <c r="G54" s="136">
        <f t="shared" si="15"/>
        <v>0.61999999999999922</v>
      </c>
    </row>
    <row r="55" spans="1:7">
      <c r="A55" s="284">
        <f t="shared" si="0"/>
        <v>49</v>
      </c>
      <c r="B55" s="284" t="str">
        <f t="shared" si="12"/>
        <v>26 (12)</v>
      </c>
      <c r="C55" s="142" t="s">
        <v>237</v>
      </c>
      <c r="D55" s="135">
        <f t="shared" si="14"/>
        <v>43221</v>
      </c>
      <c r="E55" s="137">
        <v>5.4927999999999998E-2</v>
      </c>
      <c r="F55" s="137">
        <f>+F37-ROUND(F51*F37,6)</f>
        <v>5.9144000000000002E-2</v>
      </c>
      <c r="G55" s="137">
        <f t="shared" si="15"/>
        <v>4.2160000000000045E-3</v>
      </c>
    </row>
    <row r="56" spans="1:7">
      <c r="A56" s="284">
        <f t="shared" si="0"/>
        <v>50</v>
      </c>
      <c r="B56" s="284" t="str">
        <f t="shared" si="12"/>
        <v>26 (12)</v>
      </c>
      <c r="C56" s="134" t="s">
        <v>238</v>
      </c>
      <c r="D56" s="135">
        <f t="shared" si="14"/>
        <v>43221</v>
      </c>
      <c r="E56" s="141">
        <v>1.2100000000000001E-3</v>
      </c>
      <c r="F56" s="141">
        <f>+F46-ROUND(F51*F46,5)</f>
        <v>1.2999999999999999E-3</v>
      </c>
      <c r="G56" s="141">
        <f t="shared" si="15"/>
        <v>8.9999999999999802E-5</v>
      </c>
    </row>
    <row r="57" spans="1:7">
      <c r="A57" s="284">
        <f t="shared" si="0"/>
        <v>51</v>
      </c>
    </row>
    <row r="58" spans="1:7">
      <c r="A58" s="284">
        <f t="shared" si="0"/>
        <v>52</v>
      </c>
      <c r="B58" s="284">
        <v>29</v>
      </c>
      <c r="C58" s="138" t="s">
        <v>216</v>
      </c>
      <c r="D58" s="138"/>
    </row>
    <row r="59" spans="1:7">
      <c r="A59" s="284">
        <f t="shared" si="0"/>
        <v>53</v>
      </c>
      <c r="B59" s="284">
        <f>+$B$58</f>
        <v>29</v>
      </c>
      <c r="C59" s="134" t="s">
        <v>209</v>
      </c>
      <c r="D59" s="135">
        <f t="shared" ref="D59:D60" si="16">+$D$8</f>
        <v>43221</v>
      </c>
      <c r="E59" s="136">
        <v>9.68</v>
      </c>
      <c r="F59" s="136">
        <f>+'Exhibit No.__(JAP-SV RD)'!G116</f>
        <v>10.23</v>
      </c>
      <c r="G59" s="136">
        <f t="shared" ref="G59:G60" si="17">+F59-E59</f>
        <v>0.55000000000000071</v>
      </c>
    </row>
    <row r="60" spans="1:7">
      <c r="A60" s="284">
        <f t="shared" si="0"/>
        <v>54</v>
      </c>
      <c r="B60" s="284">
        <f t="shared" ref="B60:B71" si="18">+$B$58</f>
        <v>29</v>
      </c>
      <c r="C60" s="134" t="s">
        <v>210</v>
      </c>
      <c r="D60" s="135">
        <f t="shared" si="16"/>
        <v>43221</v>
      </c>
      <c r="E60" s="136">
        <v>24.58</v>
      </c>
      <c r="F60" s="136">
        <f>+'Exhibit No.__(JAP-SV RD)'!G117</f>
        <v>25.97</v>
      </c>
      <c r="G60" s="136">
        <f t="shared" si="17"/>
        <v>1.3900000000000006</v>
      </c>
    </row>
    <row r="61" spans="1:7">
      <c r="A61" s="284">
        <f t="shared" si="0"/>
        <v>55</v>
      </c>
      <c r="B61" s="284">
        <f t="shared" si="18"/>
        <v>29</v>
      </c>
      <c r="C61" s="134"/>
      <c r="D61" s="134"/>
      <c r="E61" s="136"/>
      <c r="F61" s="136"/>
      <c r="G61" s="136"/>
    </row>
    <row r="62" spans="1:7">
      <c r="A62" s="284">
        <f t="shared" si="0"/>
        <v>56</v>
      </c>
      <c r="B62" s="284">
        <f t="shared" si="18"/>
        <v>29</v>
      </c>
      <c r="C62" s="134" t="s">
        <v>218</v>
      </c>
      <c r="D62" s="135">
        <f t="shared" ref="D62:D65" si="19">+$D$8</f>
        <v>43221</v>
      </c>
      <c r="E62" s="137">
        <v>9.0677999999999995E-2</v>
      </c>
      <c r="F62" s="137">
        <f>+'Exhibit No.__(JAP-SV RD)'!G120</f>
        <v>9.5823000000000005E-2</v>
      </c>
      <c r="G62" s="137">
        <f t="shared" ref="G62:G65" si="20">+F62-E62</f>
        <v>5.1450000000000107E-3</v>
      </c>
    </row>
    <row r="63" spans="1:7">
      <c r="A63" s="284">
        <f t="shared" si="0"/>
        <v>57</v>
      </c>
      <c r="B63" s="284">
        <f t="shared" si="18"/>
        <v>29</v>
      </c>
      <c r="C63" s="134" t="s">
        <v>239</v>
      </c>
      <c r="D63" s="135">
        <f t="shared" si="19"/>
        <v>43221</v>
      </c>
      <c r="E63" s="137">
        <v>6.8867999999999999E-2</v>
      </c>
      <c r="F63" s="137">
        <f>+'Exhibit No.__(JAP-SV RD)'!G121</f>
        <v>7.2775999999999993E-2</v>
      </c>
      <c r="G63" s="137">
        <f t="shared" si="20"/>
        <v>3.9079999999999948E-3</v>
      </c>
    </row>
    <row r="64" spans="1:7">
      <c r="A64" s="284">
        <f t="shared" si="0"/>
        <v>58</v>
      </c>
      <c r="B64" s="284">
        <f t="shared" si="18"/>
        <v>29</v>
      </c>
      <c r="C64" s="134" t="s">
        <v>219</v>
      </c>
      <c r="D64" s="135">
        <f t="shared" si="19"/>
        <v>43221</v>
      </c>
      <c r="E64" s="137">
        <v>6.2835000000000002E-2</v>
      </c>
      <c r="F64" s="137">
        <f>+'Exhibit No.__(JAP-SV RD)'!G122</f>
        <v>6.6400000000000001E-2</v>
      </c>
      <c r="G64" s="137">
        <f t="shared" si="20"/>
        <v>3.5649999999999987E-3</v>
      </c>
    </row>
    <row r="65" spans="1:7">
      <c r="A65" s="284">
        <f t="shared" si="0"/>
        <v>59</v>
      </c>
      <c r="B65" s="284">
        <f t="shared" si="18"/>
        <v>29</v>
      </c>
      <c r="C65" s="134" t="s">
        <v>240</v>
      </c>
      <c r="D65" s="135">
        <f t="shared" si="19"/>
        <v>43221</v>
      </c>
      <c r="E65" s="137">
        <v>5.3838999999999998E-2</v>
      </c>
      <c r="F65" s="137">
        <f>+'Exhibit No.__(JAP-SV RD)'!G123</f>
        <v>5.6894E-2</v>
      </c>
      <c r="G65" s="137">
        <f t="shared" si="20"/>
        <v>3.0550000000000022E-3</v>
      </c>
    </row>
    <row r="66" spans="1:7">
      <c r="A66" s="284">
        <f t="shared" si="0"/>
        <v>60</v>
      </c>
      <c r="B66" s="284">
        <f t="shared" si="18"/>
        <v>29</v>
      </c>
      <c r="C66" s="140"/>
      <c r="D66" s="140"/>
    </row>
    <row r="67" spans="1:7">
      <c r="A67" s="284">
        <f t="shared" si="0"/>
        <v>61</v>
      </c>
      <c r="B67" s="284">
        <f t="shared" si="18"/>
        <v>29</v>
      </c>
      <c r="C67" s="134" t="s">
        <v>241</v>
      </c>
      <c r="D67" s="135">
        <f t="shared" ref="D67:D69" si="21">+$D$8</f>
        <v>43221</v>
      </c>
      <c r="E67" s="136">
        <v>0</v>
      </c>
      <c r="F67" s="136">
        <v>0</v>
      </c>
      <c r="G67" s="136">
        <f t="shared" ref="G67:G69" si="22">+F67-E67</f>
        <v>0</v>
      </c>
    </row>
    <row r="68" spans="1:7">
      <c r="A68" s="284">
        <f t="shared" si="0"/>
        <v>62</v>
      </c>
      <c r="B68" s="284">
        <f t="shared" si="18"/>
        <v>29</v>
      </c>
      <c r="C68" s="134" t="s">
        <v>222</v>
      </c>
      <c r="D68" s="135">
        <f t="shared" si="21"/>
        <v>43221</v>
      </c>
      <c r="E68" s="136">
        <v>8.94</v>
      </c>
      <c r="F68" s="136">
        <f>+'Exhibit No.__(JAP-SV RD)'!G130</f>
        <v>9.4499999999999993</v>
      </c>
      <c r="G68" s="136">
        <f t="shared" si="22"/>
        <v>0.50999999999999979</v>
      </c>
    </row>
    <row r="69" spans="1:7">
      <c r="A69" s="284">
        <f t="shared" si="0"/>
        <v>63</v>
      </c>
      <c r="B69" s="284">
        <f t="shared" si="18"/>
        <v>29</v>
      </c>
      <c r="C69" s="134" t="s">
        <v>223</v>
      </c>
      <c r="D69" s="135">
        <f t="shared" si="21"/>
        <v>43221</v>
      </c>
      <c r="E69" s="136">
        <v>4.4000000000000004</v>
      </c>
      <c r="F69" s="136">
        <f>+'Exhibit No.__(JAP-SV RD)'!G131</f>
        <v>4.6500000000000004</v>
      </c>
      <c r="G69" s="136">
        <f t="shared" si="22"/>
        <v>0.25</v>
      </c>
    </row>
    <row r="70" spans="1:7">
      <c r="A70" s="284">
        <f t="shared" si="0"/>
        <v>64</v>
      </c>
      <c r="B70" s="284">
        <f t="shared" si="18"/>
        <v>29</v>
      </c>
      <c r="C70" s="134"/>
      <c r="D70" s="134"/>
      <c r="E70" s="136"/>
      <c r="F70" s="136"/>
      <c r="G70" s="136"/>
    </row>
    <row r="71" spans="1:7">
      <c r="A71" s="284">
        <f t="shared" si="0"/>
        <v>65</v>
      </c>
      <c r="B71" s="284">
        <f t="shared" si="18"/>
        <v>29</v>
      </c>
      <c r="C71" s="134" t="s">
        <v>224</v>
      </c>
      <c r="D71" s="135">
        <f>+$D$8</f>
        <v>43221</v>
      </c>
      <c r="E71" s="141">
        <v>2.8400000000000001E-3</v>
      </c>
      <c r="F71" s="141">
        <f>+'Exhibit No.__(JAP-SV RD)'!G134</f>
        <v>3.0000000000000001E-3</v>
      </c>
      <c r="G71" s="141">
        <f>+F71-E71</f>
        <v>1.5999999999999999E-4</v>
      </c>
    </row>
    <row r="72" spans="1:7">
      <c r="A72" s="284">
        <f t="shared" si="0"/>
        <v>66</v>
      </c>
    </row>
    <row r="73" spans="1:7">
      <c r="A73" s="284">
        <f t="shared" ref="A73:A141" si="23">+A72+1</f>
        <v>67</v>
      </c>
      <c r="B73" s="284" t="s">
        <v>242</v>
      </c>
      <c r="C73" s="138" t="s">
        <v>243</v>
      </c>
      <c r="D73" s="138"/>
    </row>
    <row r="74" spans="1:7">
      <c r="A74" s="284">
        <f t="shared" si="23"/>
        <v>68</v>
      </c>
      <c r="B74" s="284" t="str">
        <f>+$B$73</f>
        <v>31 (10)</v>
      </c>
      <c r="C74" s="134" t="s">
        <v>217</v>
      </c>
      <c r="D74" s="135">
        <f>+$D$8</f>
        <v>43221</v>
      </c>
      <c r="E74" s="136">
        <v>343.66</v>
      </c>
      <c r="F74" s="136">
        <f>+'Exhibit No.__(JAP-PV RD)'!G15</f>
        <v>369.66</v>
      </c>
      <c r="G74" s="136">
        <f>+F74-E74</f>
        <v>26</v>
      </c>
    </row>
    <row r="75" spans="1:7">
      <c r="A75" s="284">
        <f t="shared" si="23"/>
        <v>69</v>
      </c>
      <c r="B75" s="284" t="str">
        <f t="shared" ref="B75:B85" si="24">+$B$73</f>
        <v>31 (10)</v>
      </c>
      <c r="C75" s="134"/>
      <c r="D75" s="134"/>
      <c r="E75" s="136"/>
      <c r="F75" s="136"/>
      <c r="G75" s="136"/>
    </row>
    <row r="76" spans="1:7">
      <c r="A76" s="284">
        <f t="shared" si="23"/>
        <v>70</v>
      </c>
      <c r="B76" s="284" t="str">
        <f t="shared" si="24"/>
        <v>31 (10)</v>
      </c>
      <c r="C76" s="134" t="s">
        <v>244</v>
      </c>
      <c r="D76" s="135">
        <f>+$D$8</f>
        <v>43221</v>
      </c>
      <c r="E76" s="137">
        <v>5.5014E-2</v>
      </c>
      <c r="F76" s="137">
        <f>+'Exhibit No.__(JAP-PV RD)'!G17</f>
        <v>5.9171000000000001E-2</v>
      </c>
      <c r="G76" s="137">
        <f>+F76-E76</f>
        <v>4.157000000000001E-3</v>
      </c>
    </row>
    <row r="77" spans="1:7">
      <c r="A77" s="284">
        <f t="shared" si="23"/>
        <v>71</v>
      </c>
      <c r="B77" s="284" t="str">
        <f t="shared" si="24"/>
        <v>31 (10)</v>
      </c>
      <c r="C77" s="140"/>
      <c r="D77" s="140"/>
    </row>
    <row r="78" spans="1:7">
      <c r="A78" s="284">
        <f t="shared" si="23"/>
        <v>72</v>
      </c>
      <c r="B78" s="284" t="str">
        <f t="shared" si="24"/>
        <v>31 (10)</v>
      </c>
      <c r="C78" s="134" t="s">
        <v>228</v>
      </c>
      <c r="D78" s="135">
        <f t="shared" ref="D78:D83" si="25">+$D$8</f>
        <v>43221</v>
      </c>
      <c r="E78" s="136">
        <v>11.46</v>
      </c>
      <c r="F78" s="136">
        <f>+'Exhibit No.__(JAP-PV RD)'!G23</f>
        <v>12.33</v>
      </c>
      <c r="G78" s="136">
        <f t="shared" ref="G78:G81" si="26">+F78-E78</f>
        <v>0.86999999999999922</v>
      </c>
    </row>
    <row r="79" spans="1:7">
      <c r="A79" s="284">
        <f t="shared" si="23"/>
        <v>73</v>
      </c>
      <c r="B79" s="284" t="str">
        <f t="shared" si="24"/>
        <v>31 (10)</v>
      </c>
      <c r="C79" s="150" t="s">
        <v>609</v>
      </c>
      <c r="D79" s="135">
        <f t="shared" si="25"/>
        <v>43221</v>
      </c>
      <c r="E79" s="136"/>
      <c r="F79" s="136">
        <v>7.96</v>
      </c>
      <c r="G79" s="136"/>
    </row>
    <row r="80" spans="1:7">
      <c r="A80" s="284">
        <f t="shared" si="23"/>
        <v>74</v>
      </c>
      <c r="B80" s="284" t="str">
        <f t="shared" si="24"/>
        <v>31 (10)</v>
      </c>
      <c r="C80" s="150" t="s">
        <v>610</v>
      </c>
      <c r="D80" s="135">
        <f t="shared" si="25"/>
        <v>43221</v>
      </c>
      <c r="E80" s="136"/>
      <c r="F80" s="136">
        <v>4.37</v>
      </c>
      <c r="G80" s="136"/>
    </row>
    <row r="81" spans="1:7">
      <c r="A81" s="284">
        <f t="shared" si="23"/>
        <v>75</v>
      </c>
      <c r="B81" s="284" t="str">
        <f t="shared" si="24"/>
        <v>31 (10)</v>
      </c>
      <c r="C81" s="134" t="s">
        <v>229</v>
      </c>
      <c r="D81" s="135">
        <f t="shared" si="25"/>
        <v>43221</v>
      </c>
      <c r="E81" s="136">
        <v>7.64</v>
      </c>
      <c r="F81" s="136">
        <f>+'Exhibit No.__(JAP-PV RD)'!G24</f>
        <v>8.2200000000000006</v>
      </c>
      <c r="G81" s="136">
        <f t="shared" si="26"/>
        <v>0.58000000000000096</v>
      </c>
    </row>
    <row r="82" spans="1:7">
      <c r="A82" s="284">
        <f t="shared" si="23"/>
        <v>76</v>
      </c>
      <c r="B82" s="284" t="str">
        <f t="shared" si="24"/>
        <v>31 (10)</v>
      </c>
      <c r="C82" s="150" t="s">
        <v>609</v>
      </c>
      <c r="D82" s="135">
        <f t="shared" si="25"/>
        <v>43221</v>
      </c>
      <c r="E82" s="136"/>
      <c r="F82" s="136">
        <v>5.3</v>
      </c>
      <c r="G82" s="136"/>
    </row>
    <row r="83" spans="1:7">
      <c r="A83" s="284">
        <f t="shared" si="23"/>
        <v>77</v>
      </c>
      <c r="B83" s="284" t="str">
        <f t="shared" si="24"/>
        <v>31 (10)</v>
      </c>
      <c r="C83" s="150" t="s">
        <v>610</v>
      </c>
      <c r="D83" s="135">
        <f t="shared" si="25"/>
        <v>43221</v>
      </c>
      <c r="E83" s="136"/>
      <c r="F83" s="136">
        <v>2.92</v>
      </c>
      <c r="G83" s="136"/>
    </row>
    <row r="84" spans="1:7">
      <c r="A84" s="284">
        <f t="shared" si="23"/>
        <v>78</v>
      </c>
      <c r="B84" s="284" t="str">
        <f t="shared" si="24"/>
        <v>31 (10)</v>
      </c>
      <c r="C84" s="134"/>
      <c r="D84" s="134"/>
      <c r="E84" s="136"/>
      <c r="F84" s="136"/>
      <c r="G84" s="136"/>
    </row>
    <row r="85" spans="1:7">
      <c r="A85" s="284">
        <f t="shared" si="23"/>
        <v>79</v>
      </c>
      <c r="B85" s="284" t="str">
        <f t="shared" si="24"/>
        <v>31 (10)</v>
      </c>
      <c r="C85" s="134" t="s">
        <v>224</v>
      </c>
      <c r="D85" s="135">
        <f>+$D$8</f>
        <v>43221</v>
      </c>
      <c r="E85" s="141">
        <v>1.07E-3</v>
      </c>
      <c r="F85" s="141">
        <f>+'Exhibit No.__(JAP-PV RD)'!G27</f>
        <v>1.15E-3</v>
      </c>
      <c r="G85" s="141">
        <f>+F85-E85</f>
        <v>7.9999999999999993E-5</v>
      </c>
    </row>
    <row r="86" spans="1:7">
      <c r="A86" s="284">
        <f t="shared" si="23"/>
        <v>80</v>
      </c>
    </row>
    <row r="87" spans="1:7">
      <c r="A87" s="284">
        <f t="shared" si="23"/>
        <v>81</v>
      </c>
      <c r="B87" s="284">
        <v>35</v>
      </c>
      <c r="C87" s="138" t="s">
        <v>245</v>
      </c>
      <c r="D87" s="138"/>
    </row>
    <row r="88" spans="1:7">
      <c r="A88" s="284">
        <f t="shared" si="23"/>
        <v>82</v>
      </c>
      <c r="B88" s="284">
        <f>+$B$87</f>
        <v>35</v>
      </c>
      <c r="C88" s="134" t="s">
        <v>217</v>
      </c>
      <c r="D88" s="135">
        <f>+$D$8</f>
        <v>43221</v>
      </c>
      <c r="E88" s="136">
        <v>343.66</v>
      </c>
      <c r="F88" s="136">
        <f>+'Exhibit No.__(JAP-PV RD)'!G37</f>
        <v>369.66</v>
      </c>
      <c r="G88" s="136">
        <f>+F88-E88</f>
        <v>26</v>
      </c>
    </row>
    <row r="89" spans="1:7">
      <c r="A89" s="284">
        <f t="shared" si="23"/>
        <v>83</v>
      </c>
      <c r="B89" s="284">
        <f t="shared" ref="B89:B95" si="27">+$B$87</f>
        <v>35</v>
      </c>
      <c r="C89" s="134"/>
      <c r="D89" s="134"/>
      <c r="E89" s="136"/>
      <c r="F89" s="136"/>
      <c r="G89" s="136"/>
    </row>
    <row r="90" spans="1:7">
      <c r="A90" s="284">
        <f t="shared" si="23"/>
        <v>84</v>
      </c>
      <c r="B90" s="284">
        <f t="shared" si="27"/>
        <v>35</v>
      </c>
      <c r="C90" s="134" t="s">
        <v>244</v>
      </c>
      <c r="D90" s="135">
        <f>+D88</f>
        <v>43221</v>
      </c>
      <c r="E90" s="137">
        <v>4.9973999999999998E-2</v>
      </c>
      <c r="F90" s="137">
        <f>+'Exhibit No.__(JAP-PV RD)'!G39</f>
        <v>5.5737000000000002E-2</v>
      </c>
      <c r="G90" s="137">
        <f>+F90-E90</f>
        <v>5.7630000000000042E-3</v>
      </c>
    </row>
    <row r="91" spans="1:7">
      <c r="A91" s="284">
        <f t="shared" si="23"/>
        <v>85</v>
      </c>
      <c r="B91" s="284">
        <f t="shared" si="27"/>
        <v>35</v>
      </c>
      <c r="C91" s="140"/>
      <c r="D91" s="140"/>
    </row>
    <row r="92" spans="1:7">
      <c r="A92" s="284">
        <f t="shared" si="23"/>
        <v>86</v>
      </c>
      <c r="B92" s="284">
        <f t="shared" si="27"/>
        <v>35</v>
      </c>
      <c r="C92" s="134" t="s">
        <v>246</v>
      </c>
      <c r="D92" s="135">
        <f>+$D$8</f>
        <v>43221</v>
      </c>
      <c r="E92" s="136">
        <v>4.62</v>
      </c>
      <c r="F92" s="136">
        <f>+'Exhibit No.__(JAP-PV RD)'!G45</f>
        <v>5.15</v>
      </c>
      <c r="G92" s="136">
        <f t="shared" ref="G92:G93" si="28">+F92-E92</f>
        <v>0.53000000000000025</v>
      </c>
    </row>
    <row r="93" spans="1:7">
      <c r="A93" s="284">
        <f t="shared" si="23"/>
        <v>87</v>
      </c>
      <c r="B93" s="284">
        <f t="shared" si="27"/>
        <v>35</v>
      </c>
      <c r="C93" s="134" t="s">
        <v>247</v>
      </c>
      <c r="D93" s="135">
        <f>+$D$8</f>
        <v>43221</v>
      </c>
      <c r="E93" s="136">
        <v>3.08</v>
      </c>
      <c r="F93" s="136">
        <f>+'Exhibit No.__(JAP-PV RD)'!G46</f>
        <v>3.44</v>
      </c>
      <c r="G93" s="136">
        <f t="shared" si="28"/>
        <v>0.35999999999999988</v>
      </c>
    </row>
    <row r="94" spans="1:7">
      <c r="A94" s="284">
        <f t="shared" si="23"/>
        <v>88</v>
      </c>
      <c r="B94" s="284">
        <f t="shared" si="27"/>
        <v>35</v>
      </c>
      <c r="C94" s="134"/>
      <c r="D94" s="134"/>
      <c r="E94" s="136"/>
      <c r="F94" s="136"/>
      <c r="G94" s="136"/>
    </row>
    <row r="95" spans="1:7">
      <c r="A95" s="284">
        <f t="shared" si="23"/>
        <v>89</v>
      </c>
      <c r="B95" s="284">
        <f t="shared" si="27"/>
        <v>35</v>
      </c>
      <c r="C95" s="134" t="s">
        <v>224</v>
      </c>
      <c r="D95" s="135">
        <f>+$D$8</f>
        <v>43221</v>
      </c>
      <c r="E95" s="141">
        <v>1.1100000000000001E-3</v>
      </c>
      <c r="F95" s="141">
        <f>+'Exhibit No.__(JAP-PV RD)'!G49</f>
        <v>1.24E-3</v>
      </c>
      <c r="G95" s="141">
        <f>+F95-E95</f>
        <v>1.2999999999999991E-4</v>
      </c>
    </row>
    <row r="96" spans="1:7">
      <c r="A96" s="284">
        <f t="shared" si="23"/>
        <v>90</v>
      </c>
    </row>
    <row r="97" spans="1:7">
      <c r="A97" s="284">
        <f t="shared" si="23"/>
        <v>91</v>
      </c>
      <c r="B97" s="284">
        <v>43</v>
      </c>
      <c r="C97" s="138" t="s">
        <v>248</v>
      </c>
      <c r="D97" s="138"/>
    </row>
    <row r="98" spans="1:7">
      <c r="A98" s="284">
        <f t="shared" si="23"/>
        <v>92</v>
      </c>
      <c r="B98" s="284">
        <f>+$B$97</f>
        <v>43</v>
      </c>
      <c r="C98" s="134" t="s">
        <v>217</v>
      </c>
      <c r="D98" s="135">
        <f>+$D$8</f>
        <v>43221</v>
      </c>
      <c r="E98" s="136">
        <v>343.66</v>
      </c>
      <c r="F98" s="136">
        <f>+'Exhibit No.__(JAP-PV RD)'!G60</f>
        <v>369.66</v>
      </c>
      <c r="G98" s="136">
        <f>+F98-E98</f>
        <v>26</v>
      </c>
    </row>
    <row r="99" spans="1:7">
      <c r="A99" s="284">
        <f t="shared" si="23"/>
        <v>93</v>
      </c>
      <c r="B99" s="284">
        <f t="shared" ref="B99:B106" si="29">+$B$97</f>
        <v>43</v>
      </c>
      <c r="C99" s="134"/>
      <c r="D99" s="134"/>
      <c r="E99" s="136"/>
      <c r="F99" s="136"/>
      <c r="G99" s="136"/>
    </row>
    <row r="100" spans="1:7">
      <c r="A100" s="284">
        <f t="shared" si="23"/>
        <v>94</v>
      </c>
      <c r="B100" s="284">
        <f t="shared" si="29"/>
        <v>43</v>
      </c>
      <c r="C100" s="134" t="s">
        <v>244</v>
      </c>
      <c r="D100" s="135">
        <f>+D62</f>
        <v>43221</v>
      </c>
      <c r="E100" s="137">
        <v>5.7135999999999999E-2</v>
      </c>
      <c r="F100" s="137">
        <f>+'Exhibit No.__(JAP-PV RD)'!G62</f>
        <v>6.3122999999999999E-2</v>
      </c>
      <c r="G100" s="137">
        <f>+F100-E100</f>
        <v>5.9869999999999993E-3</v>
      </c>
    </row>
    <row r="101" spans="1:7">
      <c r="A101" s="284">
        <f t="shared" si="23"/>
        <v>95</v>
      </c>
      <c r="B101" s="284">
        <f t="shared" si="29"/>
        <v>43</v>
      </c>
      <c r="C101" s="140"/>
      <c r="D101" s="140"/>
    </row>
    <row r="102" spans="1:7">
      <c r="A102" s="284">
        <f t="shared" si="23"/>
        <v>96</v>
      </c>
      <c r="B102" s="284">
        <f t="shared" si="29"/>
        <v>43</v>
      </c>
      <c r="C102" s="134" t="s">
        <v>249</v>
      </c>
      <c r="D102" s="135">
        <f>+$D$8</f>
        <v>43221</v>
      </c>
      <c r="E102" s="136">
        <v>4.8099999999999996</v>
      </c>
      <c r="F102" s="136">
        <f>+'Exhibit No.__(JAP-PV RD)'!G68</f>
        <v>5.17</v>
      </c>
      <c r="G102" s="136">
        <f>+F102-E102</f>
        <v>0.36000000000000032</v>
      </c>
    </row>
    <row r="103" spans="1:7">
      <c r="A103" s="284">
        <f t="shared" si="23"/>
        <v>97</v>
      </c>
      <c r="B103" s="284">
        <f t="shared" si="29"/>
        <v>43</v>
      </c>
      <c r="C103" s="134"/>
      <c r="D103" s="134"/>
      <c r="E103" s="136"/>
      <c r="F103" s="136"/>
      <c r="G103" s="136"/>
    </row>
    <row r="104" spans="1:7">
      <c r="A104" s="284">
        <f t="shared" si="23"/>
        <v>98</v>
      </c>
      <c r="B104" s="284">
        <f t="shared" si="29"/>
        <v>43</v>
      </c>
      <c r="C104" s="134" t="s">
        <v>250</v>
      </c>
      <c r="D104" s="135">
        <f>+$D$8</f>
        <v>43221</v>
      </c>
      <c r="E104" s="136">
        <v>6.65</v>
      </c>
      <c r="F104" s="136">
        <f>+'Exhibit No.__(JAP-PV RD)'!G71</f>
        <v>7.16</v>
      </c>
      <c r="G104" s="136">
        <f>+F104-E104</f>
        <v>0.50999999999999979</v>
      </c>
    </row>
    <row r="105" spans="1:7">
      <c r="A105" s="284">
        <f t="shared" si="23"/>
        <v>99</v>
      </c>
      <c r="B105" s="284">
        <f t="shared" si="29"/>
        <v>43</v>
      </c>
      <c r="E105" s="136"/>
      <c r="F105" s="136"/>
      <c r="G105" s="136"/>
    </row>
    <row r="106" spans="1:7">
      <c r="A106" s="284">
        <f t="shared" si="23"/>
        <v>100</v>
      </c>
      <c r="B106" s="284">
        <f t="shared" si="29"/>
        <v>43</v>
      </c>
      <c r="C106" s="134" t="s">
        <v>224</v>
      </c>
      <c r="D106" s="135">
        <f>+$D$8</f>
        <v>43221</v>
      </c>
      <c r="E106" s="141">
        <v>3.0400000000000002E-3</v>
      </c>
      <c r="F106" s="141">
        <f>+'Exhibit No.__(JAP-PV RD)'!G73</f>
        <v>3.2699999999999999E-3</v>
      </c>
      <c r="G106" s="141">
        <f>+F106-E106</f>
        <v>2.2999999999999974E-4</v>
      </c>
    </row>
    <row r="107" spans="1:7">
      <c r="A107" s="284">
        <f t="shared" si="23"/>
        <v>101</v>
      </c>
    </row>
    <row r="108" spans="1:7">
      <c r="A108" s="284">
        <f t="shared" si="23"/>
        <v>102</v>
      </c>
      <c r="B108" s="143"/>
      <c r="C108" s="143"/>
      <c r="D108" s="143"/>
      <c r="E108" s="143"/>
      <c r="F108" s="143"/>
      <c r="G108" s="143"/>
    </row>
    <row r="109" spans="1:7">
      <c r="A109" s="284">
        <f t="shared" si="23"/>
        <v>103</v>
      </c>
      <c r="B109" s="144" t="s">
        <v>592</v>
      </c>
      <c r="C109" s="282" t="s">
        <v>41</v>
      </c>
      <c r="D109" s="135">
        <f>+$D$8</f>
        <v>43221</v>
      </c>
      <c r="E109" s="146">
        <f>+'Exhibit No.__(JAP-TRANSP RD)'!D30</f>
        <v>2120</v>
      </c>
      <c r="F109" s="136">
        <f>+'Exhibit No.__(JAP-TRANSP RD)'!G30</f>
        <v>290</v>
      </c>
      <c r="G109" s="136">
        <f>+F109-E109</f>
        <v>-1830</v>
      </c>
    </row>
    <row r="110" spans="1:7">
      <c r="A110" s="284">
        <f t="shared" si="23"/>
        <v>104</v>
      </c>
      <c r="B110" s="144" t="str">
        <f>+B109</f>
        <v>Special Contract</v>
      </c>
      <c r="F110" s="147"/>
      <c r="G110" s="147"/>
    </row>
    <row r="111" spans="1:7">
      <c r="A111" s="284">
        <f t="shared" si="23"/>
        <v>105</v>
      </c>
      <c r="B111" s="144" t="str">
        <f t="shared" ref="B111:B122" si="30">+B110</f>
        <v>Special Contract</v>
      </c>
      <c r="C111" s="282" t="s">
        <v>252</v>
      </c>
      <c r="D111" s="135">
        <f t="shared" ref="D111:D122" si="31">+$D$8</f>
        <v>43221</v>
      </c>
      <c r="E111" s="147">
        <v>7.5999999999999998E-2</v>
      </c>
      <c r="F111" s="147">
        <v>6.6699999999999995E-2</v>
      </c>
      <c r="G111" s="147">
        <f t="shared" ref="G111:G115" si="32">+F111-E111</f>
        <v>-9.3000000000000027E-3</v>
      </c>
    </row>
    <row r="112" spans="1:7">
      <c r="A112" s="284">
        <f t="shared" si="23"/>
        <v>106</v>
      </c>
      <c r="B112" s="144" t="str">
        <f t="shared" si="30"/>
        <v>Special Contract</v>
      </c>
      <c r="C112" s="283" t="s">
        <v>253</v>
      </c>
      <c r="D112" s="135">
        <f t="shared" si="31"/>
        <v>43221</v>
      </c>
      <c r="E112" s="154">
        <v>0.44</v>
      </c>
      <c r="F112" s="154">
        <v>0.46</v>
      </c>
      <c r="G112" s="154">
        <f t="shared" si="32"/>
        <v>2.0000000000000018E-2</v>
      </c>
    </row>
    <row r="113" spans="1:7">
      <c r="A113" s="284">
        <f t="shared" si="23"/>
        <v>107</v>
      </c>
      <c r="B113" s="144" t="str">
        <f t="shared" si="30"/>
        <v>Special Contract</v>
      </c>
      <c r="C113" s="282" t="s">
        <v>254</v>
      </c>
      <c r="D113" s="135">
        <f t="shared" si="31"/>
        <v>43221</v>
      </c>
      <c r="E113" s="147">
        <v>3.3439999999999998E-2</v>
      </c>
      <c r="F113" s="147">
        <f>ROUND(F111*F112,6)</f>
        <v>3.0682000000000001E-2</v>
      </c>
      <c r="G113" s="147">
        <f t="shared" si="32"/>
        <v>-2.7579999999999966E-3</v>
      </c>
    </row>
    <row r="114" spans="1:7">
      <c r="A114" s="284">
        <f t="shared" si="23"/>
        <v>108</v>
      </c>
      <c r="B114" s="144" t="str">
        <f t="shared" si="30"/>
        <v>Special Contract</v>
      </c>
      <c r="C114" s="283" t="s">
        <v>255</v>
      </c>
      <c r="D114" s="135">
        <f t="shared" si="31"/>
        <v>43221</v>
      </c>
      <c r="E114" s="148">
        <v>0.2273</v>
      </c>
      <c r="F114" s="148">
        <v>0.19289999999999999</v>
      </c>
      <c r="G114" s="148">
        <f t="shared" si="32"/>
        <v>-3.4400000000000014E-2</v>
      </c>
    </row>
    <row r="115" spans="1:7">
      <c r="A115" s="284">
        <f t="shared" si="23"/>
        <v>109</v>
      </c>
      <c r="B115" s="144" t="str">
        <f t="shared" si="30"/>
        <v>Special Contract</v>
      </c>
      <c r="C115" s="283" t="s">
        <v>256</v>
      </c>
      <c r="D115" s="135">
        <f t="shared" si="31"/>
        <v>43221</v>
      </c>
      <c r="E115" s="148">
        <v>4.9299999999999997E-2</v>
      </c>
      <c r="F115" s="148">
        <v>4.4499999999999998E-2</v>
      </c>
      <c r="G115" s="148">
        <f t="shared" si="32"/>
        <v>-4.7999999999999987E-3</v>
      </c>
    </row>
    <row r="116" spans="1:7">
      <c r="A116" s="284">
        <f t="shared" si="23"/>
        <v>110</v>
      </c>
      <c r="B116" s="144" t="str">
        <f t="shared" si="30"/>
        <v>Special Contract</v>
      </c>
      <c r="C116" s="282"/>
      <c r="D116" s="145"/>
      <c r="E116" s="148"/>
      <c r="F116" s="147"/>
      <c r="G116" s="147"/>
    </row>
    <row r="117" spans="1:7">
      <c r="A117" s="284">
        <f t="shared" si="23"/>
        <v>111</v>
      </c>
      <c r="B117" s="144" t="str">
        <f t="shared" si="30"/>
        <v>Special Contract</v>
      </c>
      <c r="C117" s="283" t="s">
        <v>257</v>
      </c>
      <c r="D117" s="135">
        <f t="shared" si="31"/>
        <v>43221</v>
      </c>
      <c r="E117" s="147">
        <v>9.1354726579609066E-2</v>
      </c>
      <c r="F117" s="147">
        <v>8.9843774957886618E-2</v>
      </c>
      <c r="G117" s="147">
        <f>+F117-E117</f>
        <v>-1.5109516217224478E-3</v>
      </c>
    </row>
    <row r="118" spans="1:7">
      <c r="A118" s="284">
        <f t="shared" si="23"/>
        <v>112</v>
      </c>
      <c r="B118" s="144" t="str">
        <f t="shared" si="30"/>
        <v>Special Contract</v>
      </c>
      <c r="C118" s="282"/>
      <c r="D118" s="145"/>
      <c r="E118" s="148"/>
      <c r="F118" s="147"/>
      <c r="G118" s="147"/>
    </row>
    <row r="119" spans="1:7">
      <c r="A119" s="284">
        <f t="shared" si="23"/>
        <v>113</v>
      </c>
      <c r="B119" s="144" t="str">
        <f t="shared" si="30"/>
        <v>Special Contract</v>
      </c>
      <c r="C119" s="282" t="s">
        <v>615</v>
      </c>
      <c r="D119" s="135"/>
      <c r="E119" s="148"/>
      <c r="F119" s="147"/>
      <c r="G119" s="147"/>
    </row>
    <row r="120" spans="1:7">
      <c r="A120" s="284">
        <f t="shared" si="23"/>
        <v>114</v>
      </c>
      <c r="B120" s="144" t="str">
        <f t="shared" si="30"/>
        <v>Special Contract</v>
      </c>
      <c r="C120" s="151" t="s">
        <v>616</v>
      </c>
      <c r="D120" s="135">
        <f t="shared" si="31"/>
        <v>43221</v>
      </c>
      <c r="E120" s="137">
        <v>1.1672E-2</v>
      </c>
      <c r="F120" s="137">
        <v>1.4128999999999999E-2</v>
      </c>
      <c r="G120" s="137">
        <f t="shared" ref="G120:G122" si="33">+F120-E120</f>
        <v>2.4569999999999991E-3</v>
      </c>
    </row>
    <row r="121" spans="1:7">
      <c r="A121" s="284">
        <f t="shared" si="23"/>
        <v>115</v>
      </c>
      <c r="B121" s="144" t="str">
        <f t="shared" si="30"/>
        <v>Special Contract</v>
      </c>
      <c r="C121" s="151" t="s">
        <v>617</v>
      </c>
      <c r="D121" s="135">
        <f t="shared" si="31"/>
        <v>43221</v>
      </c>
      <c r="E121" s="137">
        <v>9.8650000000000005E-3</v>
      </c>
      <c r="F121" s="137">
        <v>1.0097E-2</v>
      </c>
      <c r="G121" s="137">
        <f t="shared" si="33"/>
        <v>2.3199999999999957E-4</v>
      </c>
    </row>
    <row r="122" spans="1:7">
      <c r="A122" s="284">
        <f t="shared" si="23"/>
        <v>116</v>
      </c>
      <c r="B122" s="144" t="str">
        <f t="shared" si="30"/>
        <v>Special Contract</v>
      </c>
      <c r="C122" s="151" t="s">
        <v>618</v>
      </c>
      <c r="D122" s="135">
        <f t="shared" si="31"/>
        <v>43221</v>
      </c>
      <c r="E122" s="137">
        <v>1.5011999999999999E-2</v>
      </c>
      <c r="F122" s="137">
        <v>1.5292E-2</v>
      </c>
      <c r="G122" s="137">
        <f t="shared" si="33"/>
        <v>2.8000000000000073E-4</v>
      </c>
    </row>
    <row r="123" spans="1:7">
      <c r="A123" s="284">
        <f t="shared" si="23"/>
        <v>117</v>
      </c>
    </row>
    <row r="124" spans="1:7">
      <c r="A124" s="284">
        <f t="shared" si="23"/>
        <v>118</v>
      </c>
      <c r="B124" s="284">
        <v>46</v>
      </c>
      <c r="C124" s="138" t="s">
        <v>258</v>
      </c>
      <c r="D124" s="138"/>
    </row>
    <row r="125" spans="1:7">
      <c r="A125" s="284">
        <f t="shared" si="23"/>
        <v>119</v>
      </c>
      <c r="B125" s="284">
        <f t="shared" ref="B125:B130" si="34">+$B$124</f>
        <v>46</v>
      </c>
      <c r="C125" s="134" t="s">
        <v>244</v>
      </c>
      <c r="D125" s="145">
        <f t="shared" ref="D125" si="35">+$D$8</f>
        <v>43221</v>
      </c>
      <c r="E125" s="137">
        <v>5.0738999999999999E-2</v>
      </c>
      <c r="F125" s="137">
        <f>+'Exhibit No.__(JAP-HV RD)'!G16</f>
        <v>5.3619E-2</v>
      </c>
      <c r="G125" s="137">
        <f>+F125-E125</f>
        <v>2.8800000000000006E-3</v>
      </c>
    </row>
    <row r="126" spans="1:7">
      <c r="A126" s="284">
        <f t="shared" si="23"/>
        <v>120</v>
      </c>
      <c r="B126" s="284">
        <f t="shared" si="34"/>
        <v>46</v>
      </c>
      <c r="C126" s="140"/>
      <c r="D126" s="140"/>
    </row>
    <row r="127" spans="1:7">
      <c r="A127" s="284">
        <f t="shared" si="23"/>
        <v>121</v>
      </c>
      <c r="B127" s="284">
        <f t="shared" si="34"/>
        <v>46</v>
      </c>
      <c r="C127" s="134" t="s">
        <v>259</v>
      </c>
      <c r="D127" s="135">
        <f>+$D$8</f>
        <v>43221</v>
      </c>
      <c r="E127" s="136">
        <v>2.95</v>
      </c>
      <c r="F127" s="136">
        <f>+'Exhibit No.__(JAP-HV RD)'!G20</f>
        <v>3.12</v>
      </c>
      <c r="G127" s="136">
        <f>+F127-E127</f>
        <v>0.16999999999999993</v>
      </c>
    </row>
    <row r="128" spans="1:7">
      <c r="A128" s="284">
        <f t="shared" si="23"/>
        <v>122</v>
      </c>
      <c r="B128" s="284">
        <f t="shared" si="34"/>
        <v>46</v>
      </c>
      <c r="C128" s="134"/>
      <c r="D128" s="135"/>
      <c r="E128" s="136"/>
      <c r="F128" s="136"/>
      <c r="G128" s="136"/>
    </row>
    <row r="129" spans="1:7">
      <c r="A129" s="284">
        <f t="shared" si="23"/>
        <v>123</v>
      </c>
      <c r="B129" s="284">
        <f t="shared" si="34"/>
        <v>46</v>
      </c>
      <c r="C129" s="142" t="s">
        <v>260</v>
      </c>
      <c r="D129" s="135">
        <f>+D127</f>
        <v>43221</v>
      </c>
      <c r="E129" s="136">
        <v>35.4</v>
      </c>
      <c r="F129" s="136">
        <f>+'Exhibit No.__(JAP-HV RD)'!G25</f>
        <v>37.44</v>
      </c>
      <c r="G129" s="136">
        <f t="shared" ref="G129:G130" si="36">+F129-E129</f>
        <v>2.0399999999999991</v>
      </c>
    </row>
    <row r="130" spans="1:7">
      <c r="A130" s="284">
        <f t="shared" si="23"/>
        <v>124</v>
      </c>
      <c r="B130" s="284">
        <f t="shared" si="34"/>
        <v>46</v>
      </c>
      <c r="C130" s="134" t="s">
        <v>261</v>
      </c>
      <c r="D130" s="135">
        <f>+D125</f>
        <v>43221</v>
      </c>
      <c r="E130" s="137">
        <v>4.5664999999999997E-2</v>
      </c>
      <c r="F130" s="137">
        <f>+'Exhibit No.__(JAP-HV RD)'!G24</f>
        <v>4.8257000000000001E-2</v>
      </c>
      <c r="G130" s="137">
        <f t="shared" si="36"/>
        <v>2.592000000000004E-3</v>
      </c>
    </row>
    <row r="131" spans="1:7">
      <c r="A131" s="284">
        <f t="shared" si="23"/>
        <v>125</v>
      </c>
    </row>
    <row r="132" spans="1:7">
      <c r="A132" s="284">
        <f t="shared" si="23"/>
        <v>126</v>
      </c>
      <c r="B132" s="284">
        <v>49</v>
      </c>
      <c r="C132" s="149" t="s">
        <v>262</v>
      </c>
      <c r="D132" s="149"/>
    </row>
    <row r="133" spans="1:7">
      <c r="A133" s="284">
        <f t="shared" si="23"/>
        <v>127</v>
      </c>
      <c r="B133" s="284">
        <f>+$B$132</f>
        <v>49</v>
      </c>
      <c r="C133" s="134" t="s">
        <v>244</v>
      </c>
      <c r="D133" s="135">
        <f>+D125</f>
        <v>43221</v>
      </c>
      <c r="E133" s="137">
        <v>5.0738999999999999E-2</v>
      </c>
      <c r="F133" s="137">
        <f>+'Exhibit No.__(JAP-HV RD)'!G31</f>
        <v>5.3619E-2</v>
      </c>
      <c r="G133" s="137">
        <f>+F133-E133</f>
        <v>2.8800000000000006E-3</v>
      </c>
    </row>
    <row r="134" spans="1:7">
      <c r="A134" s="284">
        <f t="shared" si="23"/>
        <v>128</v>
      </c>
      <c r="B134" s="284">
        <f>+$B$132</f>
        <v>49</v>
      </c>
      <c r="C134" s="140"/>
      <c r="D134" s="140"/>
    </row>
    <row r="135" spans="1:7">
      <c r="A135" s="284">
        <f t="shared" si="23"/>
        <v>129</v>
      </c>
      <c r="B135" s="284">
        <f>+$B$132</f>
        <v>49</v>
      </c>
      <c r="C135" s="134" t="s">
        <v>263</v>
      </c>
      <c r="D135" s="135">
        <f>+$D$8</f>
        <v>43221</v>
      </c>
      <c r="E135" s="136">
        <v>5.48</v>
      </c>
      <c r="F135" s="136">
        <f>+'Exhibit No.__(JAP-HV RD)'!G35</f>
        <v>5.79</v>
      </c>
      <c r="G135" s="136">
        <f>+F135-E135</f>
        <v>0.30999999999999961</v>
      </c>
    </row>
    <row r="136" spans="1:7">
      <c r="A136" s="284">
        <f t="shared" si="23"/>
        <v>130</v>
      </c>
    </row>
    <row r="137" spans="1:7">
      <c r="A137" s="284">
        <f t="shared" si="23"/>
        <v>131</v>
      </c>
      <c r="B137" s="284" t="s">
        <v>264</v>
      </c>
      <c r="C137" s="138" t="s">
        <v>265</v>
      </c>
      <c r="D137" s="149"/>
    </row>
    <row r="138" spans="1:7">
      <c r="A138" s="284">
        <f t="shared" si="23"/>
        <v>132</v>
      </c>
      <c r="B138" s="284" t="str">
        <f>+$B$137</f>
        <v>448 / 458</v>
      </c>
      <c r="C138" s="142" t="s">
        <v>266</v>
      </c>
      <c r="D138" s="142"/>
    </row>
    <row r="139" spans="1:7">
      <c r="A139" s="284">
        <f t="shared" si="23"/>
        <v>133</v>
      </c>
      <c r="B139" s="284" t="str">
        <f>+$B$137</f>
        <v>448 / 458</v>
      </c>
      <c r="C139" s="140" t="s">
        <v>134</v>
      </c>
      <c r="D139" s="135">
        <f>+$D$8</f>
        <v>43221</v>
      </c>
      <c r="E139" s="136">
        <v>2120</v>
      </c>
      <c r="F139" s="136">
        <f>+'Exhibit No.__(JAP-TRANSP RD)'!G14</f>
        <v>2590</v>
      </c>
      <c r="G139" s="136">
        <f t="shared" ref="G139:G140" si="37">+F139-E139</f>
        <v>470</v>
      </c>
    </row>
    <row r="140" spans="1:7">
      <c r="A140" s="284">
        <f t="shared" si="23"/>
        <v>134</v>
      </c>
      <c r="B140" s="284" t="str">
        <f>+$B$137</f>
        <v>448 / 458</v>
      </c>
      <c r="C140" s="140" t="s">
        <v>251</v>
      </c>
      <c r="D140" s="135">
        <f>+$D$8</f>
        <v>43221</v>
      </c>
      <c r="E140" s="136">
        <f>+E139</f>
        <v>2120</v>
      </c>
      <c r="F140" s="136">
        <f>+F139</f>
        <v>2590</v>
      </c>
      <c r="G140" s="136">
        <f t="shared" si="37"/>
        <v>470</v>
      </c>
    </row>
    <row r="141" spans="1:7">
      <c r="A141" s="284">
        <f t="shared" si="23"/>
        <v>135</v>
      </c>
      <c r="D141" s="150"/>
      <c r="E141" s="136"/>
      <c r="F141" s="136"/>
      <c r="G141" s="136"/>
    </row>
    <row r="142" spans="1:7">
      <c r="A142" s="284">
        <f t="shared" ref="A142:A145" si="38">+A141+1</f>
        <v>136</v>
      </c>
      <c r="B142" s="139" t="s">
        <v>193</v>
      </c>
      <c r="C142" s="138" t="s">
        <v>267</v>
      </c>
      <c r="D142" s="149"/>
    </row>
    <row r="143" spans="1:7">
      <c r="A143" s="284">
        <f t="shared" si="38"/>
        <v>137</v>
      </c>
      <c r="B143" s="284" t="str">
        <f>+$B$142</f>
        <v>449 / 459</v>
      </c>
      <c r="C143" s="142" t="s">
        <v>266</v>
      </c>
      <c r="D143" s="135"/>
    </row>
    <row r="144" spans="1:7">
      <c r="A144" s="284">
        <f t="shared" si="38"/>
        <v>138</v>
      </c>
      <c r="B144" s="284" t="str">
        <f>+$B$142</f>
        <v>449 / 459</v>
      </c>
      <c r="C144" s="140" t="s">
        <v>134</v>
      </c>
      <c r="D144" s="135">
        <f>+$D$8</f>
        <v>43221</v>
      </c>
      <c r="E144" s="136">
        <f>+E140</f>
        <v>2120</v>
      </c>
      <c r="F144" s="136">
        <f>+F139</f>
        <v>2590</v>
      </c>
      <c r="G144" s="136">
        <f t="shared" ref="G144:G145" si="39">+F144-E144</f>
        <v>470</v>
      </c>
    </row>
    <row r="145" spans="1:7">
      <c r="A145" s="284">
        <f t="shared" si="38"/>
        <v>139</v>
      </c>
      <c r="B145" s="284" t="str">
        <f>+$B$142</f>
        <v>449 / 459</v>
      </c>
      <c r="C145" s="140" t="s">
        <v>251</v>
      </c>
      <c r="D145" s="135">
        <f>+$D$8</f>
        <v>43221</v>
      </c>
      <c r="E145" s="136">
        <f>+E144</f>
        <v>2120</v>
      </c>
      <c r="F145" s="136">
        <f>+F140</f>
        <v>2590</v>
      </c>
      <c r="G145" s="136">
        <f t="shared" si="39"/>
        <v>470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&amp;L&amp;F
&amp;A&amp;RPage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6"/>
  <sheetViews>
    <sheetView workbookViewId="0">
      <pane xSplit="2" ySplit="4" topLeftCell="C164" activePane="bottomRight" state="frozen"/>
      <selection activeCellId="1" sqref="A1:J1 A1:XFD1048576"/>
      <selection pane="topRight" activeCellId="1" sqref="A1:J1 A1:XFD1048576"/>
      <selection pane="bottomLeft" activeCellId="1" sqref="A1:J1 A1:XFD1048576"/>
      <selection pane="bottomRight" activeCell="D65" sqref="D65"/>
    </sheetView>
  </sheetViews>
  <sheetFormatPr defaultColWidth="8.75" defaultRowHeight="15.75"/>
  <cols>
    <col min="1" max="2" width="8.75" style="178"/>
    <col min="3" max="3" width="30.75" style="178" bestFit="1" customWidth="1"/>
    <col min="4" max="4" width="21.25" style="178" bestFit="1" customWidth="1"/>
    <col min="5" max="5" width="9.625" style="178" customWidth="1"/>
    <col min="6" max="9" width="8.75" style="178"/>
    <col min="10" max="10" width="15.125" style="178" customWidth="1"/>
    <col min="11" max="11" width="17.625" style="178" bestFit="1" customWidth="1"/>
    <col min="12" max="16384" width="8.75" style="178"/>
  </cols>
  <sheetData>
    <row r="1" spans="1:10">
      <c r="A1" s="130" t="s">
        <v>80</v>
      </c>
      <c r="B1" s="130"/>
      <c r="C1" s="130"/>
      <c r="D1" s="130"/>
      <c r="E1" s="130"/>
      <c r="F1" s="130"/>
      <c r="G1" s="130"/>
      <c r="H1" s="130"/>
    </row>
    <row r="2" spans="1:10">
      <c r="A2" s="130" t="s">
        <v>445</v>
      </c>
      <c r="B2" s="130"/>
      <c r="C2" s="130"/>
      <c r="D2" s="130"/>
      <c r="E2" s="130"/>
      <c r="F2" s="130"/>
      <c r="G2" s="130"/>
      <c r="H2" s="130"/>
    </row>
    <row r="3" spans="1:10">
      <c r="A3" s="130"/>
      <c r="B3" s="130"/>
      <c r="C3" s="130"/>
      <c r="D3" s="130"/>
      <c r="E3" s="130"/>
      <c r="F3" s="130"/>
      <c r="G3" s="130"/>
      <c r="H3" s="130"/>
    </row>
    <row r="4" spans="1:10" ht="51.75">
      <c r="A4" s="131" t="s">
        <v>167</v>
      </c>
      <c r="B4" s="131" t="s">
        <v>206</v>
      </c>
      <c r="C4" s="131" t="s">
        <v>169</v>
      </c>
      <c r="D4" s="131" t="s">
        <v>446</v>
      </c>
      <c r="E4" s="131" t="str">
        <f>+'Exhibit No.__(JAP-Tariff)'!D5</f>
        <v>Base Effective Date</v>
      </c>
      <c r="F4" s="131" t="str">
        <f>+'Exhibit No.__(JAP-Tariff)'!E5</f>
        <v>Proforma Rates</v>
      </c>
      <c r="G4" s="131" t="str">
        <f>+'Exhibit No.__(JAP-Tariff)'!F5</f>
        <v>Proposed
Rates
Effective
May 2020</v>
      </c>
      <c r="H4" s="131" t="str">
        <f>+'Exhibit No.__(JAP-Tariff)'!G5</f>
        <v>Rate Change</v>
      </c>
    </row>
    <row r="5" spans="1:10">
      <c r="A5" s="155"/>
      <c r="B5" s="155"/>
      <c r="C5" s="155"/>
      <c r="D5" s="284"/>
      <c r="E5" s="133" t="s">
        <v>172</v>
      </c>
      <c r="F5" s="133" t="s">
        <v>173</v>
      </c>
      <c r="G5" s="133" t="s">
        <v>174</v>
      </c>
      <c r="H5" s="133" t="s">
        <v>504</v>
      </c>
    </row>
    <row r="6" spans="1:10">
      <c r="A6" s="284">
        <v>1</v>
      </c>
      <c r="B6" s="284">
        <v>50</v>
      </c>
      <c r="C6" s="149" t="s">
        <v>447</v>
      </c>
      <c r="D6" s="284" t="s">
        <v>448</v>
      </c>
      <c r="E6" s="135">
        <v>43221</v>
      </c>
      <c r="F6" s="136">
        <v>0.68</v>
      </c>
      <c r="G6" s="136">
        <f>+'Exhibit No.__(JAP-LIGHT RD) '!G30</f>
        <v>0.75</v>
      </c>
      <c r="H6" s="136">
        <f>+G6-F6</f>
        <v>6.9999999999999951E-2</v>
      </c>
      <c r="I6" s="216"/>
      <c r="J6" s="216"/>
    </row>
    <row r="7" spans="1:10">
      <c r="A7" s="284">
        <f>+A6+1</f>
        <v>2</v>
      </c>
      <c r="B7" s="284">
        <f>+$B$6</f>
        <v>50</v>
      </c>
      <c r="C7" s="155" t="s">
        <v>449</v>
      </c>
      <c r="D7" s="284" t="s">
        <v>450</v>
      </c>
      <c r="E7" s="135">
        <f t="shared" ref="E7:E9" si="0">+$E$6</f>
        <v>43221</v>
      </c>
      <c r="F7" s="136">
        <v>5.19</v>
      </c>
      <c r="G7" s="136">
        <f>+'Exhibit No.__(JAP-LIGHT RD) '!G32</f>
        <v>5.0599999999999996</v>
      </c>
      <c r="H7" s="136">
        <f t="shared" ref="H7:H65" si="1">+G7-F7</f>
        <v>-0.13000000000000078</v>
      </c>
      <c r="I7" s="216"/>
      <c r="J7" s="216"/>
    </row>
    <row r="8" spans="1:10">
      <c r="A8" s="284">
        <f t="shared" ref="A8:A71" si="2">+A7+1</f>
        <v>3</v>
      </c>
      <c r="B8" s="284">
        <f>+B7</f>
        <v>50</v>
      </c>
      <c r="C8" s="155" t="s">
        <v>449</v>
      </c>
      <c r="D8" s="284" t="s">
        <v>451</v>
      </c>
      <c r="E8" s="135">
        <f t="shared" si="0"/>
        <v>43221</v>
      </c>
      <c r="F8" s="136">
        <v>7.5</v>
      </c>
      <c r="G8" s="136">
        <f>+'Exhibit No.__(JAP-LIGHT RD) '!G33</f>
        <v>7.6</v>
      </c>
      <c r="H8" s="136">
        <f t="shared" si="1"/>
        <v>9.9999999999999645E-2</v>
      </c>
      <c r="I8" s="216"/>
      <c r="J8" s="216"/>
    </row>
    <row r="9" spans="1:10">
      <c r="A9" s="284">
        <f t="shared" si="2"/>
        <v>4</v>
      </c>
      <c r="B9" s="284">
        <f>+B8</f>
        <v>50</v>
      </c>
      <c r="C9" s="155" t="s">
        <v>449</v>
      </c>
      <c r="D9" s="284" t="s">
        <v>452</v>
      </c>
      <c r="E9" s="135">
        <f t="shared" si="0"/>
        <v>43221</v>
      </c>
      <c r="F9" s="136">
        <v>14.45</v>
      </c>
      <c r="G9" s="136">
        <f>+'Exhibit No.__(JAP-LIGHT RD) '!G34</f>
        <v>15.25</v>
      </c>
      <c r="H9" s="136">
        <f t="shared" si="1"/>
        <v>0.80000000000000071</v>
      </c>
      <c r="I9" s="216"/>
      <c r="J9" s="216"/>
    </row>
    <row r="10" spans="1:10">
      <c r="A10" s="284">
        <f t="shared" si="2"/>
        <v>5</v>
      </c>
      <c r="B10" s="284"/>
      <c r="C10" s="155"/>
      <c r="D10" s="284"/>
      <c r="E10" s="155"/>
      <c r="F10" s="155"/>
      <c r="G10" s="136"/>
      <c r="H10" s="136"/>
      <c r="I10" s="216"/>
      <c r="J10" s="216"/>
    </row>
    <row r="11" spans="1:10">
      <c r="A11" s="284">
        <f t="shared" si="2"/>
        <v>6</v>
      </c>
      <c r="B11" s="284">
        <f>+$B$6</f>
        <v>50</v>
      </c>
      <c r="C11" s="155" t="s">
        <v>453</v>
      </c>
      <c r="D11" s="284" t="s">
        <v>450</v>
      </c>
      <c r="E11" s="135">
        <f t="shared" ref="E11:E14" si="3">+$E$6</f>
        <v>43221</v>
      </c>
      <c r="F11" s="136">
        <v>3.09</v>
      </c>
      <c r="G11" s="136">
        <f>+'Exhibit No.__(JAP-LIGHT RD) '!G36</f>
        <v>3.4</v>
      </c>
      <c r="H11" s="136">
        <f t="shared" si="1"/>
        <v>0.31000000000000005</v>
      </c>
      <c r="I11" s="216"/>
      <c r="J11" s="216"/>
    </row>
    <row r="12" spans="1:10">
      <c r="A12" s="284">
        <f t="shared" si="2"/>
        <v>7</v>
      </c>
      <c r="B12" s="284">
        <f>+$B$6</f>
        <v>50</v>
      </c>
      <c r="C12" s="155" t="s">
        <v>453</v>
      </c>
      <c r="D12" s="284" t="s">
        <v>451</v>
      </c>
      <c r="E12" s="135">
        <f t="shared" si="3"/>
        <v>43221</v>
      </c>
      <c r="F12" s="136">
        <v>5.4</v>
      </c>
      <c r="G12" s="136">
        <f>+'Exhibit No.__(JAP-LIGHT RD) '!G37</f>
        <v>5.94</v>
      </c>
      <c r="H12" s="136">
        <f t="shared" si="1"/>
        <v>0.54</v>
      </c>
      <c r="I12" s="216"/>
      <c r="J12" s="216"/>
    </row>
    <row r="13" spans="1:10">
      <c r="A13" s="284">
        <f t="shared" si="2"/>
        <v>8</v>
      </c>
      <c r="B13" s="284">
        <f>+$B$6</f>
        <v>50</v>
      </c>
      <c r="C13" s="155" t="s">
        <v>453</v>
      </c>
      <c r="D13" s="284" t="s">
        <v>452</v>
      </c>
      <c r="E13" s="135">
        <f t="shared" si="3"/>
        <v>43221</v>
      </c>
      <c r="F13" s="136">
        <v>12.35</v>
      </c>
      <c r="G13" s="136">
        <f>+'Exhibit No.__(JAP-LIGHT RD) '!G38</f>
        <v>13.59</v>
      </c>
      <c r="H13" s="136">
        <f t="shared" si="1"/>
        <v>1.2400000000000002</v>
      </c>
      <c r="I13" s="216"/>
      <c r="J13" s="216"/>
    </row>
    <row r="14" spans="1:10">
      <c r="A14" s="284">
        <f t="shared" si="2"/>
        <v>9</v>
      </c>
      <c r="B14" s="284">
        <f>+$B$6</f>
        <v>50</v>
      </c>
      <c r="C14" s="155" t="s">
        <v>453</v>
      </c>
      <c r="D14" s="284" t="s">
        <v>454</v>
      </c>
      <c r="E14" s="135">
        <f t="shared" si="3"/>
        <v>43221</v>
      </c>
      <c r="F14" s="136">
        <v>21.61</v>
      </c>
      <c r="G14" s="136">
        <f>+'Exhibit No.__(JAP-LIGHT RD) '!G39</f>
        <v>23.78</v>
      </c>
      <c r="H14" s="136">
        <f t="shared" si="1"/>
        <v>2.1700000000000017</v>
      </c>
      <c r="I14" s="216"/>
      <c r="J14" s="216"/>
    </row>
    <row r="15" spans="1:10">
      <c r="A15" s="284">
        <f t="shared" si="2"/>
        <v>10</v>
      </c>
      <c r="B15" s="284"/>
      <c r="C15" s="155"/>
      <c r="D15" s="284"/>
      <c r="E15" s="155"/>
      <c r="F15" s="188"/>
      <c r="G15" s="136"/>
      <c r="H15" s="136"/>
      <c r="I15" s="216"/>
      <c r="J15" s="216"/>
    </row>
    <row r="16" spans="1:10">
      <c r="A16" s="284">
        <f t="shared" si="2"/>
        <v>11</v>
      </c>
      <c r="B16" s="284">
        <v>51</v>
      </c>
      <c r="C16" s="155" t="s">
        <v>455</v>
      </c>
      <c r="D16" s="284" t="s">
        <v>456</v>
      </c>
      <c r="E16" s="135">
        <f t="shared" ref="E16:E17" si="4">+$E$6</f>
        <v>43221</v>
      </c>
      <c r="F16" s="188">
        <v>1.328E-2</v>
      </c>
      <c r="G16" s="188">
        <f>+'Exhibit No.__(JAP-LIGHT RD) '!G60</f>
        <v>1.4789999999999999E-2</v>
      </c>
      <c r="H16" s="188">
        <f t="shared" si="1"/>
        <v>1.5099999999999992E-3</v>
      </c>
      <c r="I16" s="216"/>
      <c r="J16" s="216"/>
    </row>
    <row r="17" spans="1:10">
      <c r="A17" s="284">
        <f t="shared" si="2"/>
        <v>12</v>
      </c>
      <c r="B17" s="284">
        <f>+$B$16</f>
        <v>51</v>
      </c>
      <c r="C17" s="155" t="s">
        <v>455</v>
      </c>
      <c r="D17" s="284" t="s">
        <v>457</v>
      </c>
      <c r="E17" s="135">
        <f t="shared" si="4"/>
        <v>43221</v>
      </c>
      <c r="F17" s="188">
        <v>7.3999999999999999E-4</v>
      </c>
      <c r="G17" s="188">
        <f>+'Exhibit No.__(JAP-LIGHT RD) '!G61</f>
        <v>1.3600000000000001E-3</v>
      </c>
      <c r="H17" s="188">
        <f t="shared" si="1"/>
        <v>6.2000000000000011E-4</v>
      </c>
      <c r="I17" s="216"/>
      <c r="J17" s="216"/>
    </row>
    <row r="18" spans="1:10">
      <c r="A18" s="284">
        <f t="shared" si="2"/>
        <v>13</v>
      </c>
      <c r="B18" s="284"/>
      <c r="C18" s="155"/>
      <c r="D18" s="284"/>
      <c r="E18" s="155"/>
      <c r="F18" s="155"/>
      <c r="G18" s="188"/>
      <c r="H18" s="188"/>
      <c r="I18" s="216"/>
      <c r="J18" s="216"/>
    </row>
    <row r="19" spans="1:10">
      <c r="A19" s="284">
        <f t="shared" si="2"/>
        <v>14</v>
      </c>
      <c r="B19" s="284">
        <f t="shared" ref="B19:B27" si="5">+$B$16</f>
        <v>51</v>
      </c>
      <c r="C19" s="138" t="s">
        <v>458</v>
      </c>
      <c r="D19" s="139" t="s">
        <v>506</v>
      </c>
      <c r="E19" s="135">
        <f t="shared" ref="E19:E27" si="6">+$E$6</f>
        <v>43221</v>
      </c>
      <c r="F19" s="136">
        <v>1.39</v>
      </c>
      <c r="G19" s="136">
        <f>+'Exhibit No.__(JAP-LIGHT RD) '!G50</f>
        <v>1.53</v>
      </c>
      <c r="H19" s="136">
        <f t="shared" si="1"/>
        <v>0.14000000000000012</v>
      </c>
      <c r="I19" s="216"/>
      <c r="J19" s="216"/>
    </row>
    <row r="20" spans="1:10">
      <c r="A20" s="284">
        <f t="shared" si="2"/>
        <v>15</v>
      </c>
      <c r="B20" s="284">
        <f t="shared" si="5"/>
        <v>51</v>
      </c>
      <c r="C20" s="138" t="s">
        <v>458</v>
      </c>
      <c r="D20" s="139" t="s">
        <v>507</v>
      </c>
      <c r="E20" s="135">
        <f t="shared" si="6"/>
        <v>43221</v>
      </c>
      <c r="F20" s="136">
        <v>2.3199999999999998</v>
      </c>
      <c r="G20" s="136">
        <f>+'Exhibit No.__(JAP-LIGHT RD) '!G51</f>
        <v>2.5499999999999998</v>
      </c>
      <c r="H20" s="136">
        <f t="shared" si="1"/>
        <v>0.22999999999999998</v>
      </c>
      <c r="I20" s="216"/>
      <c r="J20" s="216"/>
    </row>
    <row r="21" spans="1:10">
      <c r="A21" s="284">
        <f t="shared" si="2"/>
        <v>16</v>
      </c>
      <c r="B21" s="284">
        <f t="shared" si="5"/>
        <v>51</v>
      </c>
      <c r="C21" s="138" t="s">
        <v>458</v>
      </c>
      <c r="D21" s="139" t="s">
        <v>508</v>
      </c>
      <c r="E21" s="135">
        <f t="shared" si="6"/>
        <v>43221</v>
      </c>
      <c r="F21" s="136">
        <v>3.24</v>
      </c>
      <c r="G21" s="136">
        <f>+'Exhibit No.__(JAP-LIGHT RD) '!G52</f>
        <v>3.57</v>
      </c>
      <c r="H21" s="136">
        <f t="shared" si="1"/>
        <v>0.32999999999999963</v>
      </c>
      <c r="I21" s="216"/>
      <c r="J21" s="216"/>
    </row>
    <row r="22" spans="1:10">
      <c r="A22" s="284">
        <f t="shared" si="2"/>
        <v>17</v>
      </c>
      <c r="B22" s="284">
        <f t="shared" si="5"/>
        <v>51</v>
      </c>
      <c r="C22" s="138" t="s">
        <v>458</v>
      </c>
      <c r="D22" s="139" t="s">
        <v>480</v>
      </c>
      <c r="E22" s="135">
        <f t="shared" si="6"/>
        <v>43221</v>
      </c>
      <c r="F22" s="136">
        <v>4.17</v>
      </c>
      <c r="G22" s="136">
        <f>+'Exhibit No.__(JAP-LIGHT RD) '!G53</f>
        <v>4.59</v>
      </c>
      <c r="H22" s="136">
        <f t="shared" si="1"/>
        <v>0.41999999999999993</v>
      </c>
      <c r="I22" s="216"/>
      <c r="J22" s="216"/>
    </row>
    <row r="23" spans="1:10">
      <c r="A23" s="284">
        <f t="shared" si="2"/>
        <v>18</v>
      </c>
      <c r="B23" s="284">
        <f t="shared" si="5"/>
        <v>51</v>
      </c>
      <c r="C23" s="138" t="s">
        <v>458</v>
      </c>
      <c r="D23" s="139" t="s">
        <v>481</v>
      </c>
      <c r="E23" s="135">
        <f t="shared" si="6"/>
        <v>43221</v>
      </c>
      <c r="F23" s="136">
        <v>5.09</v>
      </c>
      <c r="G23" s="136">
        <f>+'Exhibit No.__(JAP-LIGHT RD) '!G54</f>
        <v>5.6</v>
      </c>
      <c r="H23" s="136">
        <f t="shared" si="1"/>
        <v>0.50999999999999979</v>
      </c>
      <c r="I23" s="216"/>
      <c r="J23" s="216"/>
    </row>
    <row r="24" spans="1:10">
      <c r="A24" s="284">
        <f t="shared" si="2"/>
        <v>19</v>
      </c>
      <c r="B24" s="284">
        <f t="shared" si="5"/>
        <v>51</v>
      </c>
      <c r="C24" s="138" t="s">
        <v>458</v>
      </c>
      <c r="D24" s="139" t="s">
        <v>482</v>
      </c>
      <c r="E24" s="135">
        <f t="shared" si="6"/>
        <v>43221</v>
      </c>
      <c r="F24" s="136">
        <v>6.02</v>
      </c>
      <c r="G24" s="136">
        <f>+'Exhibit No.__(JAP-LIGHT RD) '!G55</f>
        <v>6.62</v>
      </c>
      <c r="H24" s="136">
        <f t="shared" si="1"/>
        <v>0.60000000000000053</v>
      </c>
      <c r="I24" s="216"/>
      <c r="J24" s="216"/>
    </row>
    <row r="25" spans="1:10">
      <c r="A25" s="284">
        <f t="shared" si="2"/>
        <v>20</v>
      </c>
      <c r="B25" s="284">
        <f t="shared" si="5"/>
        <v>51</v>
      </c>
      <c r="C25" s="138" t="s">
        <v>458</v>
      </c>
      <c r="D25" s="139" t="s">
        <v>483</v>
      </c>
      <c r="E25" s="135">
        <f t="shared" si="6"/>
        <v>43221</v>
      </c>
      <c r="F25" s="136">
        <v>6.95</v>
      </c>
      <c r="G25" s="136">
        <f>+'Exhibit No.__(JAP-LIGHT RD) '!G56</f>
        <v>7.64</v>
      </c>
      <c r="H25" s="136">
        <f t="shared" si="1"/>
        <v>0.6899999999999995</v>
      </c>
      <c r="I25" s="216"/>
      <c r="J25" s="216"/>
    </row>
    <row r="26" spans="1:10">
      <c r="A26" s="284">
        <f t="shared" si="2"/>
        <v>21</v>
      </c>
      <c r="B26" s="284">
        <f t="shared" si="5"/>
        <v>51</v>
      </c>
      <c r="C26" s="138" t="s">
        <v>458</v>
      </c>
      <c r="D26" s="139" t="s">
        <v>484</v>
      </c>
      <c r="E26" s="135">
        <f t="shared" si="6"/>
        <v>43221</v>
      </c>
      <c r="F26" s="136">
        <v>7.87</v>
      </c>
      <c r="G26" s="136">
        <f>+'Exhibit No.__(JAP-LIGHT RD) '!G57</f>
        <v>8.66</v>
      </c>
      <c r="H26" s="136">
        <f t="shared" si="1"/>
        <v>0.79</v>
      </c>
      <c r="I26" s="216"/>
      <c r="J26" s="216"/>
    </row>
    <row r="27" spans="1:10">
      <c r="A27" s="284">
        <f t="shared" si="2"/>
        <v>22</v>
      </c>
      <c r="B27" s="284">
        <f t="shared" si="5"/>
        <v>51</v>
      </c>
      <c r="C27" s="138" t="s">
        <v>458</v>
      </c>
      <c r="D27" s="139" t="s">
        <v>485</v>
      </c>
      <c r="E27" s="135">
        <f t="shared" si="6"/>
        <v>43221</v>
      </c>
      <c r="F27" s="136">
        <v>8.8000000000000007</v>
      </c>
      <c r="G27" s="136">
        <f>+'Exhibit No.__(JAP-LIGHT RD) '!G58</f>
        <v>9.68</v>
      </c>
      <c r="H27" s="136">
        <f t="shared" si="1"/>
        <v>0.87999999999999901</v>
      </c>
      <c r="I27" s="216"/>
      <c r="J27" s="216"/>
    </row>
    <row r="28" spans="1:10">
      <c r="A28" s="284">
        <f t="shared" si="2"/>
        <v>23</v>
      </c>
      <c r="B28" s="284"/>
      <c r="C28" s="155"/>
      <c r="D28" s="284"/>
      <c r="E28" s="135"/>
      <c r="F28" s="155"/>
      <c r="G28" s="136"/>
      <c r="H28" s="136"/>
      <c r="I28" s="216"/>
      <c r="J28" s="216"/>
    </row>
    <row r="29" spans="1:10">
      <c r="A29" s="284">
        <f t="shared" si="2"/>
        <v>24</v>
      </c>
      <c r="B29" s="284">
        <v>52</v>
      </c>
      <c r="C29" s="155" t="s">
        <v>459</v>
      </c>
      <c r="D29" s="284" t="s">
        <v>456</v>
      </c>
      <c r="E29" s="135">
        <f t="shared" ref="E29:E30" si="7">+$E$6</f>
        <v>43221</v>
      </c>
      <c r="F29" s="188">
        <v>1.4930000000000001E-2</v>
      </c>
      <c r="G29" s="188">
        <f>+'Exhibit No.__(JAP-LIGHT RD) '!G60</f>
        <v>1.4789999999999999E-2</v>
      </c>
      <c r="H29" s="188">
        <f t="shared" si="1"/>
        <v>-1.4000000000000123E-4</v>
      </c>
      <c r="I29" s="216"/>
      <c r="J29" s="216"/>
    </row>
    <row r="30" spans="1:10">
      <c r="A30" s="284">
        <f t="shared" si="2"/>
        <v>25</v>
      </c>
      <c r="B30" s="284">
        <f>+$B$29</f>
        <v>52</v>
      </c>
      <c r="C30" s="155" t="s">
        <v>459</v>
      </c>
      <c r="D30" s="284" t="s">
        <v>457</v>
      </c>
      <c r="E30" s="135">
        <f t="shared" si="7"/>
        <v>43221</v>
      </c>
      <c r="F30" s="188">
        <v>2.3900000000000002E-3</v>
      </c>
      <c r="G30" s="188">
        <f>+'Exhibit No.__(JAP-LIGHT RD) '!G61</f>
        <v>1.3600000000000001E-3</v>
      </c>
      <c r="H30" s="188">
        <f t="shared" si="1"/>
        <v>-1.0300000000000001E-3</v>
      </c>
      <c r="I30" s="216"/>
      <c r="J30" s="216"/>
    </row>
    <row r="31" spans="1:10">
      <c r="A31" s="284">
        <f t="shared" si="2"/>
        <v>26</v>
      </c>
      <c r="B31" s="284"/>
      <c r="C31" s="155"/>
      <c r="D31" s="284"/>
      <c r="E31" s="155"/>
      <c r="F31" s="155"/>
      <c r="G31" s="136"/>
      <c r="H31" s="136"/>
      <c r="I31" s="216"/>
      <c r="J31" s="216"/>
    </row>
    <row r="32" spans="1:10">
      <c r="A32" s="284">
        <f t="shared" si="2"/>
        <v>27</v>
      </c>
      <c r="B32" s="284">
        <f t="shared" ref="B32:B39" si="8">+$B$29</f>
        <v>52</v>
      </c>
      <c r="C32" s="155" t="s">
        <v>459</v>
      </c>
      <c r="D32" s="284" t="s">
        <v>460</v>
      </c>
      <c r="E32" s="135">
        <f t="shared" ref="E32:E39" si="9">+$E$6</f>
        <v>43221</v>
      </c>
      <c r="F32" s="136">
        <v>1.54</v>
      </c>
      <c r="G32" s="136">
        <f>+'Exhibit No.__(JAP-LIGHT RD) '!G73</f>
        <v>1.7</v>
      </c>
      <c r="H32" s="136">
        <f t="shared" si="1"/>
        <v>0.15999999999999992</v>
      </c>
      <c r="I32" s="216"/>
      <c r="J32" s="216"/>
    </row>
    <row r="33" spans="1:10">
      <c r="A33" s="284">
        <f t="shared" si="2"/>
        <v>28</v>
      </c>
      <c r="B33" s="284">
        <f t="shared" si="8"/>
        <v>52</v>
      </c>
      <c r="C33" s="155" t="s">
        <v>459</v>
      </c>
      <c r="D33" s="284" t="s">
        <v>461</v>
      </c>
      <c r="E33" s="135">
        <f t="shared" si="9"/>
        <v>43221</v>
      </c>
      <c r="F33" s="136">
        <v>2.16</v>
      </c>
      <c r="G33" s="136">
        <f>+'Exhibit No.__(JAP-LIGHT RD) '!G74</f>
        <v>2.38</v>
      </c>
      <c r="H33" s="136">
        <f t="shared" si="1"/>
        <v>0.21999999999999975</v>
      </c>
      <c r="I33" s="216"/>
      <c r="J33" s="216"/>
    </row>
    <row r="34" spans="1:10">
      <c r="A34" s="284">
        <f t="shared" si="2"/>
        <v>29</v>
      </c>
      <c r="B34" s="284">
        <f t="shared" si="8"/>
        <v>52</v>
      </c>
      <c r="C34" s="155" t="s">
        <v>459</v>
      </c>
      <c r="D34" s="284" t="s">
        <v>450</v>
      </c>
      <c r="E34" s="135">
        <f t="shared" si="9"/>
        <v>43221</v>
      </c>
      <c r="F34" s="136">
        <v>3.09</v>
      </c>
      <c r="G34" s="136">
        <f>+'Exhibit No.__(JAP-LIGHT RD) '!G75</f>
        <v>3.4</v>
      </c>
      <c r="H34" s="136">
        <f t="shared" si="1"/>
        <v>0.31000000000000005</v>
      </c>
      <c r="I34" s="216"/>
      <c r="J34" s="216"/>
    </row>
    <row r="35" spans="1:10">
      <c r="A35" s="284">
        <f t="shared" si="2"/>
        <v>30</v>
      </c>
      <c r="B35" s="284">
        <f t="shared" si="8"/>
        <v>52</v>
      </c>
      <c r="C35" s="155" t="s">
        <v>459</v>
      </c>
      <c r="D35" s="284" t="s">
        <v>462</v>
      </c>
      <c r="E35" s="135">
        <f t="shared" si="9"/>
        <v>43221</v>
      </c>
      <c r="F35" s="136">
        <v>4.63</v>
      </c>
      <c r="G35" s="136">
        <f>+'Exhibit No.__(JAP-LIGHT RD) '!G76</f>
        <v>5.0999999999999996</v>
      </c>
      <c r="H35" s="136">
        <f t="shared" si="1"/>
        <v>0.46999999999999975</v>
      </c>
      <c r="I35" s="216"/>
      <c r="J35" s="216"/>
    </row>
    <row r="36" spans="1:10">
      <c r="A36" s="284">
        <f t="shared" si="2"/>
        <v>31</v>
      </c>
      <c r="B36" s="284">
        <f t="shared" si="8"/>
        <v>52</v>
      </c>
      <c r="C36" s="155" t="s">
        <v>459</v>
      </c>
      <c r="D36" s="284" t="s">
        <v>463</v>
      </c>
      <c r="E36" s="135">
        <f t="shared" si="9"/>
        <v>43221</v>
      </c>
      <c r="F36" s="136">
        <v>6.17</v>
      </c>
      <c r="G36" s="136">
        <f>+'Exhibit No.__(JAP-LIGHT RD) '!G77</f>
        <v>6.79</v>
      </c>
      <c r="H36" s="136">
        <f t="shared" si="1"/>
        <v>0.62000000000000011</v>
      </c>
      <c r="I36" s="216"/>
      <c r="J36" s="216"/>
    </row>
    <row r="37" spans="1:10">
      <c r="A37" s="284">
        <f t="shared" si="2"/>
        <v>32</v>
      </c>
      <c r="B37" s="284">
        <f t="shared" si="8"/>
        <v>52</v>
      </c>
      <c r="C37" s="155" t="s">
        <v>459</v>
      </c>
      <c r="D37" s="284" t="s">
        <v>464</v>
      </c>
      <c r="E37" s="135">
        <f t="shared" si="9"/>
        <v>43221</v>
      </c>
      <c r="F37" s="136">
        <v>7.72</v>
      </c>
      <c r="G37" s="136">
        <f>+'Exhibit No.__(JAP-LIGHT RD) '!G78</f>
        <v>8.49</v>
      </c>
      <c r="H37" s="136">
        <f t="shared" si="1"/>
        <v>0.77000000000000046</v>
      </c>
      <c r="I37" s="216"/>
      <c r="J37" s="216"/>
    </row>
    <row r="38" spans="1:10">
      <c r="A38" s="284">
        <f t="shared" si="2"/>
        <v>33</v>
      </c>
      <c r="B38" s="284">
        <f t="shared" si="8"/>
        <v>52</v>
      </c>
      <c r="C38" s="155" t="s">
        <v>459</v>
      </c>
      <c r="D38" s="284" t="s">
        <v>465</v>
      </c>
      <c r="E38" s="135">
        <f t="shared" si="9"/>
        <v>43221</v>
      </c>
      <c r="F38" s="136">
        <v>9.57</v>
      </c>
      <c r="G38" s="136">
        <f>+'Exhibit No.__(JAP-LIGHT RD) '!G79</f>
        <v>10.53</v>
      </c>
      <c r="H38" s="136">
        <f t="shared" si="1"/>
        <v>0.95999999999999908</v>
      </c>
      <c r="I38" s="216"/>
      <c r="J38" s="216"/>
    </row>
    <row r="39" spans="1:10">
      <c r="A39" s="284">
        <f t="shared" si="2"/>
        <v>34</v>
      </c>
      <c r="B39" s="284">
        <f t="shared" si="8"/>
        <v>52</v>
      </c>
      <c r="C39" s="155" t="s">
        <v>459</v>
      </c>
      <c r="D39" s="284" t="s">
        <v>452</v>
      </c>
      <c r="E39" s="135">
        <f t="shared" si="9"/>
        <v>43221</v>
      </c>
      <c r="F39" s="136">
        <v>12.35</v>
      </c>
      <c r="G39" s="136">
        <f>+'Exhibit No.__(JAP-LIGHT RD) '!G80</f>
        <v>13.59</v>
      </c>
      <c r="H39" s="136">
        <f t="shared" si="1"/>
        <v>1.2400000000000002</v>
      </c>
      <c r="I39" s="216"/>
      <c r="J39" s="216"/>
    </row>
    <row r="40" spans="1:10">
      <c r="A40" s="284">
        <f t="shared" si="2"/>
        <v>35</v>
      </c>
      <c r="B40" s="284"/>
      <c r="C40" s="155"/>
      <c r="D40" s="284"/>
      <c r="E40" s="155"/>
      <c r="F40" s="155"/>
      <c r="G40" s="136"/>
      <c r="H40" s="136"/>
      <c r="I40" s="216"/>
      <c r="J40" s="216"/>
    </row>
    <row r="41" spans="1:10">
      <c r="A41" s="284">
        <f t="shared" si="2"/>
        <v>36</v>
      </c>
      <c r="B41" s="284">
        <f t="shared" ref="B41:B47" si="10">+$B$29</f>
        <v>52</v>
      </c>
      <c r="C41" s="155" t="s">
        <v>466</v>
      </c>
      <c r="D41" s="284" t="s">
        <v>461</v>
      </c>
      <c r="E41" s="135">
        <f t="shared" ref="E41:E47" si="11">+$E$6</f>
        <v>43221</v>
      </c>
      <c r="F41" s="136">
        <v>2.16</v>
      </c>
      <c r="G41" s="136">
        <f>+'Exhibit No.__(JAP-LIGHT RD) '!G82</f>
        <v>2.38</v>
      </c>
      <c r="H41" s="136">
        <f t="shared" si="1"/>
        <v>0.21999999999999975</v>
      </c>
      <c r="I41" s="216"/>
      <c r="J41" s="216"/>
    </row>
    <row r="42" spans="1:10">
      <c r="A42" s="284">
        <f t="shared" si="2"/>
        <v>37</v>
      </c>
      <c r="B42" s="284">
        <f t="shared" si="10"/>
        <v>52</v>
      </c>
      <c r="C42" s="155" t="s">
        <v>466</v>
      </c>
      <c r="D42" s="284" t="s">
        <v>450</v>
      </c>
      <c r="E42" s="135">
        <f t="shared" si="11"/>
        <v>43221</v>
      </c>
      <c r="F42" s="136">
        <v>3.09</v>
      </c>
      <c r="G42" s="136">
        <f>+'Exhibit No.__(JAP-LIGHT RD) '!G83</f>
        <v>3.4</v>
      </c>
      <c r="H42" s="136">
        <f t="shared" si="1"/>
        <v>0.31000000000000005</v>
      </c>
      <c r="I42" s="216"/>
      <c r="J42" s="216"/>
    </row>
    <row r="43" spans="1:10">
      <c r="A43" s="284">
        <f t="shared" si="2"/>
        <v>38</v>
      </c>
      <c r="B43" s="284">
        <f t="shared" si="10"/>
        <v>52</v>
      </c>
      <c r="C43" s="155" t="s">
        <v>466</v>
      </c>
      <c r="D43" s="284" t="s">
        <v>462</v>
      </c>
      <c r="E43" s="135">
        <f t="shared" si="11"/>
        <v>43221</v>
      </c>
      <c r="F43" s="136">
        <v>4.63</v>
      </c>
      <c r="G43" s="136">
        <f>+'Exhibit No.__(JAP-LIGHT RD) '!G84</f>
        <v>5.0999999999999996</v>
      </c>
      <c r="H43" s="136">
        <f t="shared" si="1"/>
        <v>0.46999999999999975</v>
      </c>
      <c r="I43" s="216"/>
      <c r="J43" s="216"/>
    </row>
    <row r="44" spans="1:10">
      <c r="A44" s="284">
        <f t="shared" si="2"/>
        <v>39</v>
      </c>
      <c r="B44" s="284">
        <f t="shared" si="10"/>
        <v>52</v>
      </c>
      <c r="C44" s="155" t="s">
        <v>466</v>
      </c>
      <c r="D44" s="284" t="s">
        <v>451</v>
      </c>
      <c r="E44" s="135">
        <f t="shared" si="11"/>
        <v>43221</v>
      </c>
      <c r="F44" s="136">
        <v>5.4</v>
      </c>
      <c r="G44" s="136">
        <f>+'Exhibit No.__(JAP-LIGHT RD) '!G85</f>
        <v>5.94</v>
      </c>
      <c r="H44" s="136">
        <f t="shared" si="1"/>
        <v>0.54</v>
      </c>
      <c r="I44" s="216"/>
      <c r="J44" s="216"/>
    </row>
    <row r="45" spans="1:10">
      <c r="A45" s="284">
        <f t="shared" si="2"/>
        <v>40</v>
      </c>
      <c r="B45" s="284">
        <f t="shared" si="10"/>
        <v>52</v>
      </c>
      <c r="C45" s="155" t="s">
        <v>466</v>
      </c>
      <c r="D45" s="284" t="s">
        <v>464</v>
      </c>
      <c r="E45" s="135">
        <f t="shared" si="11"/>
        <v>43221</v>
      </c>
      <c r="F45" s="136">
        <v>7.72</v>
      </c>
      <c r="G45" s="136">
        <f>+'Exhibit No.__(JAP-LIGHT RD) '!G86</f>
        <v>8.49</v>
      </c>
      <c r="H45" s="136">
        <f t="shared" si="1"/>
        <v>0.77000000000000046</v>
      </c>
      <c r="I45" s="216"/>
      <c r="J45" s="216"/>
    </row>
    <row r="46" spans="1:10">
      <c r="A46" s="284">
        <f t="shared" si="2"/>
        <v>41</v>
      </c>
      <c r="B46" s="284">
        <f t="shared" si="10"/>
        <v>52</v>
      </c>
      <c r="C46" s="155" t="s">
        <v>466</v>
      </c>
      <c r="D46" s="284" t="s">
        <v>452</v>
      </c>
      <c r="E46" s="135">
        <f t="shared" si="11"/>
        <v>43221</v>
      </c>
      <c r="F46" s="136">
        <v>12.35</v>
      </c>
      <c r="G46" s="136">
        <f>+'Exhibit No.__(JAP-LIGHT RD) '!G87</f>
        <v>13.59</v>
      </c>
      <c r="H46" s="136">
        <f t="shared" si="1"/>
        <v>1.2400000000000002</v>
      </c>
      <c r="I46" s="216"/>
      <c r="J46" s="216"/>
    </row>
    <row r="47" spans="1:10">
      <c r="A47" s="284">
        <f t="shared" si="2"/>
        <v>42</v>
      </c>
      <c r="B47" s="284">
        <f t="shared" si="10"/>
        <v>52</v>
      </c>
      <c r="C47" s="155" t="s">
        <v>466</v>
      </c>
      <c r="D47" s="284" t="s">
        <v>467</v>
      </c>
      <c r="E47" s="135">
        <f t="shared" si="11"/>
        <v>43221</v>
      </c>
      <c r="F47" s="136">
        <v>30.87</v>
      </c>
      <c r="G47" s="136">
        <f>+'Exhibit No.__(JAP-LIGHT RD) '!G88</f>
        <v>33.97</v>
      </c>
      <c r="H47" s="136">
        <f t="shared" si="1"/>
        <v>3.0999999999999979</v>
      </c>
      <c r="I47" s="216"/>
      <c r="J47" s="216"/>
    </row>
    <row r="48" spans="1:10">
      <c r="A48" s="284">
        <f t="shared" si="2"/>
        <v>43</v>
      </c>
      <c r="B48" s="284"/>
      <c r="C48" s="155"/>
      <c r="D48" s="284"/>
      <c r="E48" s="155"/>
      <c r="F48" s="155"/>
      <c r="G48" s="136"/>
      <c r="H48" s="136"/>
      <c r="I48" s="216"/>
      <c r="J48" s="216"/>
    </row>
    <row r="49" spans="1:10">
      <c r="A49" s="284">
        <f t="shared" si="2"/>
        <v>44</v>
      </c>
      <c r="B49" s="284">
        <v>53</v>
      </c>
      <c r="C49" s="155" t="s">
        <v>468</v>
      </c>
      <c r="D49" s="284" t="s">
        <v>460</v>
      </c>
      <c r="E49" s="135">
        <v>43252</v>
      </c>
      <c r="F49" s="136">
        <v>10.72</v>
      </c>
      <c r="G49" s="136">
        <f>+'Exhibit No.__(JAP-LIGHT RD) '!G104</f>
        <v>13.56</v>
      </c>
      <c r="H49" s="136">
        <f t="shared" si="1"/>
        <v>2.84</v>
      </c>
      <c r="I49" s="216"/>
      <c r="J49" s="216"/>
    </row>
    <row r="50" spans="1:10">
      <c r="A50" s="284">
        <f t="shared" si="2"/>
        <v>45</v>
      </c>
      <c r="B50" s="284">
        <f>+$B$49</f>
        <v>53</v>
      </c>
      <c r="C50" s="155" t="s">
        <v>468</v>
      </c>
      <c r="D50" s="284" t="s">
        <v>461</v>
      </c>
      <c r="E50" s="135">
        <f>+$E$49</f>
        <v>43252</v>
      </c>
      <c r="F50" s="136">
        <v>11.5</v>
      </c>
      <c r="G50" s="136">
        <f>+'Exhibit No.__(JAP-LIGHT RD) '!G105</f>
        <v>14.24</v>
      </c>
      <c r="H50" s="136">
        <f t="shared" si="1"/>
        <v>2.74</v>
      </c>
      <c r="I50" s="216"/>
      <c r="J50" s="216"/>
    </row>
    <row r="51" spans="1:10">
      <c r="A51" s="284">
        <f t="shared" si="2"/>
        <v>46</v>
      </c>
      <c r="B51" s="284">
        <f t="shared" ref="B51:B57" si="12">+$B$49</f>
        <v>53</v>
      </c>
      <c r="C51" s="155" t="s">
        <v>468</v>
      </c>
      <c r="D51" s="284" t="s">
        <v>450</v>
      </c>
      <c r="E51" s="135">
        <f t="shared" ref="E51:E63" si="13">+$E$49</f>
        <v>43252</v>
      </c>
      <c r="F51" s="136">
        <v>12.68</v>
      </c>
      <c r="G51" s="136">
        <f>+'Exhibit No.__(JAP-LIGHT RD) '!G106</f>
        <v>14.68</v>
      </c>
      <c r="H51" s="136">
        <f t="shared" si="1"/>
        <v>2</v>
      </c>
      <c r="I51" s="216"/>
      <c r="J51" s="216"/>
    </row>
    <row r="52" spans="1:10">
      <c r="A52" s="284">
        <f t="shared" si="2"/>
        <v>47</v>
      </c>
      <c r="B52" s="284">
        <f t="shared" si="12"/>
        <v>53</v>
      </c>
      <c r="C52" s="155" t="s">
        <v>468</v>
      </c>
      <c r="D52" s="284" t="s">
        <v>462</v>
      </c>
      <c r="E52" s="135">
        <f t="shared" si="13"/>
        <v>43252</v>
      </c>
      <c r="F52" s="136">
        <v>14.64</v>
      </c>
      <c r="G52" s="136">
        <f>+'Exhibit No.__(JAP-LIGHT RD) '!G107</f>
        <v>16.39</v>
      </c>
      <c r="H52" s="136">
        <f t="shared" si="1"/>
        <v>1.75</v>
      </c>
      <c r="I52" s="216"/>
      <c r="J52" s="216"/>
    </row>
    <row r="53" spans="1:10">
      <c r="A53" s="284">
        <f t="shared" si="2"/>
        <v>48</v>
      </c>
      <c r="B53" s="284">
        <f t="shared" si="12"/>
        <v>53</v>
      </c>
      <c r="C53" s="155" t="s">
        <v>468</v>
      </c>
      <c r="D53" s="284" t="s">
        <v>463</v>
      </c>
      <c r="E53" s="135">
        <f t="shared" si="13"/>
        <v>43252</v>
      </c>
      <c r="F53" s="136">
        <v>16.61</v>
      </c>
      <c r="G53" s="136">
        <f>+'Exhibit No.__(JAP-LIGHT RD) '!G108</f>
        <v>18.64</v>
      </c>
      <c r="H53" s="136">
        <f t="shared" si="1"/>
        <v>2.0300000000000011</v>
      </c>
      <c r="I53" s="216"/>
      <c r="J53" s="216"/>
    </row>
    <row r="54" spans="1:10">
      <c r="A54" s="284">
        <f t="shared" si="2"/>
        <v>49</v>
      </c>
      <c r="B54" s="284">
        <f t="shared" si="12"/>
        <v>53</v>
      </c>
      <c r="C54" s="155" t="s">
        <v>468</v>
      </c>
      <c r="D54" s="284" t="s">
        <v>464</v>
      </c>
      <c r="E54" s="135">
        <f t="shared" si="13"/>
        <v>43252</v>
      </c>
      <c r="F54" s="136">
        <v>18.57</v>
      </c>
      <c r="G54" s="136">
        <f>+'Exhibit No.__(JAP-LIGHT RD) '!G109</f>
        <v>20.51</v>
      </c>
      <c r="H54" s="136">
        <f t="shared" si="1"/>
        <v>1.9400000000000013</v>
      </c>
      <c r="I54" s="216"/>
      <c r="J54" s="216"/>
    </row>
    <row r="55" spans="1:10">
      <c r="A55" s="284">
        <f t="shared" si="2"/>
        <v>50</v>
      </c>
      <c r="B55" s="284">
        <f t="shared" si="12"/>
        <v>53</v>
      </c>
      <c r="C55" s="155" t="s">
        <v>468</v>
      </c>
      <c r="D55" s="284" t="s">
        <v>465</v>
      </c>
      <c r="E55" s="135">
        <f t="shared" si="13"/>
        <v>43252</v>
      </c>
      <c r="F55" s="136">
        <v>20.93</v>
      </c>
      <c r="G55" s="136">
        <f>+'Exhibit No.__(JAP-LIGHT RD) '!G110</f>
        <v>22.96</v>
      </c>
      <c r="H55" s="136">
        <f t="shared" si="1"/>
        <v>2.0300000000000011</v>
      </c>
      <c r="I55" s="216"/>
      <c r="J55" s="216"/>
    </row>
    <row r="56" spans="1:10">
      <c r="A56" s="284">
        <f t="shared" si="2"/>
        <v>51</v>
      </c>
      <c r="B56" s="284">
        <f t="shared" si="12"/>
        <v>53</v>
      </c>
      <c r="C56" s="155" t="s">
        <v>468</v>
      </c>
      <c r="D56" s="284" t="s">
        <v>452</v>
      </c>
      <c r="E56" s="135">
        <f t="shared" si="13"/>
        <v>43252</v>
      </c>
      <c r="F56" s="136">
        <v>24.46</v>
      </c>
      <c r="G56" s="136">
        <f>+'Exhibit No.__(JAP-LIGHT RD) '!G111</f>
        <v>26.79</v>
      </c>
      <c r="H56" s="136">
        <f t="shared" si="1"/>
        <v>2.3299999999999983</v>
      </c>
      <c r="I56" s="216"/>
      <c r="J56" s="216"/>
    </row>
    <row r="57" spans="1:10">
      <c r="A57" s="284">
        <f t="shared" si="2"/>
        <v>52</v>
      </c>
      <c r="B57" s="284">
        <f t="shared" si="12"/>
        <v>53</v>
      </c>
      <c r="C57" s="155" t="s">
        <v>468</v>
      </c>
      <c r="D57" s="284" t="s">
        <v>467</v>
      </c>
      <c r="E57" s="135">
        <f t="shared" si="13"/>
        <v>43252</v>
      </c>
      <c r="F57" s="136">
        <v>48.03</v>
      </c>
      <c r="G57" s="136">
        <f>+'Exhibit No.__(JAP-LIGHT RD) '!G112</f>
        <v>49.25</v>
      </c>
      <c r="H57" s="136">
        <f t="shared" si="1"/>
        <v>1.2199999999999989</v>
      </c>
      <c r="I57" s="216"/>
      <c r="J57" s="216"/>
    </row>
    <row r="58" spans="1:10">
      <c r="A58" s="284">
        <f t="shared" si="2"/>
        <v>53</v>
      </c>
      <c r="B58" s="284"/>
      <c r="C58" s="155"/>
      <c r="D58" s="284"/>
      <c r="E58" s="155"/>
      <c r="F58" s="155"/>
      <c r="G58" s="136"/>
      <c r="H58" s="136"/>
      <c r="I58" s="216"/>
      <c r="J58" s="216"/>
    </row>
    <row r="59" spans="1:10">
      <c r="A59" s="284">
        <f t="shared" si="2"/>
        <v>54</v>
      </c>
      <c r="B59" s="284">
        <f>+$B$49</f>
        <v>53</v>
      </c>
      <c r="C59" s="138" t="s">
        <v>469</v>
      </c>
      <c r="D59" s="284" t="s">
        <v>461</v>
      </c>
      <c r="E59" s="135">
        <f t="shared" si="13"/>
        <v>43252</v>
      </c>
      <c r="F59" s="136">
        <v>14.18</v>
      </c>
      <c r="G59" s="136">
        <f>+'Exhibit No.__(JAP-LIGHT RD) '!G114</f>
        <v>14.71</v>
      </c>
      <c r="H59" s="136">
        <f t="shared" si="1"/>
        <v>0.53000000000000114</v>
      </c>
      <c r="I59" s="216"/>
      <c r="J59" s="216"/>
    </row>
    <row r="60" spans="1:10">
      <c r="A60" s="284">
        <f t="shared" si="2"/>
        <v>55</v>
      </c>
      <c r="B60" s="284">
        <f>+$B$49</f>
        <v>53</v>
      </c>
      <c r="C60" s="138" t="s">
        <v>469</v>
      </c>
      <c r="D60" s="284" t="s">
        <v>450</v>
      </c>
      <c r="E60" s="135">
        <f t="shared" si="13"/>
        <v>43252</v>
      </c>
      <c r="F60" s="136">
        <v>15.44</v>
      </c>
      <c r="G60" s="136">
        <f>+'Exhibit No.__(JAP-LIGHT RD) '!G115</f>
        <v>15.88</v>
      </c>
      <c r="H60" s="136">
        <f t="shared" si="1"/>
        <v>0.44000000000000128</v>
      </c>
      <c r="I60" s="216"/>
      <c r="J60" s="216"/>
    </row>
    <row r="61" spans="1:10">
      <c r="A61" s="284">
        <f t="shared" si="2"/>
        <v>56</v>
      </c>
      <c r="B61" s="284">
        <f>+$B$49</f>
        <v>53</v>
      </c>
      <c r="C61" s="138" t="s">
        <v>469</v>
      </c>
      <c r="D61" s="284" t="s">
        <v>462</v>
      </c>
      <c r="E61" s="135">
        <f t="shared" si="13"/>
        <v>43252</v>
      </c>
      <c r="F61" s="136">
        <v>17.52</v>
      </c>
      <c r="G61" s="136">
        <f>+'Exhibit No.__(JAP-LIGHT RD) '!G116</f>
        <v>17.84</v>
      </c>
      <c r="H61" s="136">
        <f t="shared" si="1"/>
        <v>0.32000000000000028</v>
      </c>
      <c r="I61" s="216"/>
      <c r="J61" s="216"/>
    </row>
    <row r="62" spans="1:10">
      <c r="A62" s="284">
        <f t="shared" si="2"/>
        <v>57</v>
      </c>
      <c r="B62" s="284">
        <f>+$B$49</f>
        <v>53</v>
      </c>
      <c r="C62" s="138" t="s">
        <v>469</v>
      </c>
      <c r="D62" s="284" t="s">
        <v>464</v>
      </c>
      <c r="E62" s="135">
        <f t="shared" si="13"/>
        <v>43252</v>
      </c>
      <c r="F62" s="136">
        <v>21.69</v>
      </c>
      <c r="G62" s="136">
        <f>+'Exhibit No.__(JAP-LIGHT RD) '!G117</f>
        <v>22.07</v>
      </c>
      <c r="H62" s="136">
        <f t="shared" si="1"/>
        <v>0.37999999999999901</v>
      </c>
      <c r="I62" s="216"/>
      <c r="J62" s="216"/>
    </row>
    <row r="63" spans="1:10">
      <c r="A63" s="284">
        <f t="shared" si="2"/>
        <v>58</v>
      </c>
      <c r="B63" s="284">
        <f>+$B$49</f>
        <v>53</v>
      </c>
      <c r="C63" s="138" t="s">
        <v>469</v>
      </c>
      <c r="D63" s="284" t="s">
        <v>452</v>
      </c>
      <c r="E63" s="135">
        <f t="shared" si="13"/>
        <v>43252</v>
      </c>
      <c r="F63" s="136">
        <v>27.95</v>
      </c>
      <c r="G63" s="136">
        <f>+'Exhibit No.__(JAP-LIGHT RD) '!G118</f>
        <v>27.21</v>
      </c>
      <c r="H63" s="136">
        <f t="shared" si="1"/>
        <v>-0.73999999999999844</v>
      </c>
      <c r="I63" s="216"/>
      <c r="J63" s="216"/>
    </row>
    <row r="64" spans="1:10">
      <c r="A64" s="284">
        <f t="shared" si="2"/>
        <v>59</v>
      </c>
      <c r="B64" s="284"/>
      <c r="C64" s="155"/>
      <c r="D64" s="284"/>
      <c r="E64" s="155"/>
      <c r="F64" s="155"/>
      <c r="G64" s="136"/>
      <c r="H64" s="136"/>
      <c r="I64" s="216"/>
      <c r="J64" s="216"/>
    </row>
    <row r="65" spans="1:10">
      <c r="A65" s="284">
        <f t="shared" si="2"/>
        <v>60</v>
      </c>
      <c r="B65" s="284">
        <f t="shared" ref="B65:B73" si="14">+$B$49</f>
        <v>53</v>
      </c>
      <c r="C65" s="138" t="s">
        <v>470</v>
      </c>
      <c r="D65" s="139" t="s">
        <v>506</v>
      </c>
      <c r="E65" s="135">
        <f t="shared" ref="E65:E73" si="15">+$E$6</f>
        <v>43221</v>
      </c>
      <c r="F65" s="136">
        <v>9.9700000000000006</v>
      </c>
      <c r="G65" s="136">
        <f>+'Exhibit No.__(JAP-LIGHT RD) '!G120</f>
        <v>11.48</v>
      </c>
      <c r="H65" s="136">
        <f t="shared" si="1"/>
        <v>1.5099999999999998</v>
      </c>
      <c r="I65" s="216"/>
      <c r="J65" s="216"/>
    </row>
    <row r="66" spans="1:10">
      <c r="A66" s="284">
        <f t="shared" si="2"/>
        <v>61</v>
      </c>
      <c r="B66" s="284">
        <f t="shared" si="14"/>
        <v>53</v>
      </c>
      <c r="C66" s="138" t="s">
        <v>470</v>
      </c>
      <c r="D66" s="139" t="s">
        <v>507</v>
      </c>
      <c r="E66" s="135">
        <f t="shared" si="15"/>
        <v>43221</v>
      </c>
      <c r="F66" s="136">
        <v>11.03</v>
      </c>
      <c r="G66" s="136">
        <f>+'Exhibit No.__(JAP-LIGHT RD) '!G121</f>
        <v>12.52</v>
      </c>
      <c r="H66" s="136">
        <f t="shared" ref="H66:H73" si="16">+G66-F66</f>
        <v>1.4900000000000002</v>
      </c>
      <c r="I66" s="216"/>
      <c r="J66" s="216"/>
    </row>
    <row r="67" spans="1:10">
      <c r="A67" s="284">
        <f t="shared" si="2"/>
        <v>62</v>
      </c>
      <c r="B67" s="284">
        <f t="shared" si="14"/>
        <v>53</v>
      </c>
      <c r="C67" s="138" t="s">
        <v>470</v>
      </c>
      <c r="D67" s="139" t="s">
        <v>508</v>
      </c>
      <c r="E67" s="135">
        <f t="shared" si="15"/>
        <v>43221</v>
      </c>
      <c r="F67" s="136">
        <v>12.1</v>
      </c>
      <c r="G67" s="136">
        <f>+'Exhibit No.__(JAP-LIGHT RD) '!G122</f>
        <v>14.08</v>
      </c>
      <c r="H67" s="136">
        <f t="shared" si="16"/>
        <v>1.9800000000000004</v>
      </c>
      <c r="I67" s="216"/>
      <c r="J67" s="216"/>
    </row>
    <row r="68" spans="1:10">
      <c r="A68" s="284">
        <f t="shared" si="2"/>
        <v>63</v>
      </c>
      <c r="B68" s="284">
        <f t="shared" si="14"/>
        <v>53</v>
      </c>
      <c r="C68" s="138" t="s">
        <v>470</v>
      </c>
      <c r="D68" s="139" t="s">
        <v>480</v>
      </c>
      <c r="E68" s="135">
        <f t="shared" si="15"/>
        <v>43221</v>
      </c>
      <c r="F68" s="136">
        <v>13.16</v>
      </c>
      <c r="G68" s="136">
        <f>+'Exhibit No.__(JAP-LIGHT RD) '!G123</f>
        <v>14.54</v>
      </c>
      <c r="H68" s="136">
        <f t="shared" si="16"/>
        <v>1.379999999999999</v>
      </c>
      <c r="I68" s="216"/>
      <c r="J68" s="216"/>
    </row>
    <row r="69" spans="1:10">
      <c r="A69" s="284">
        <f t="shared" si="2"/>
        <v>64</v>
      </c>
      <c r="B69" s="284">
        <f t="shared" si="14"/>
        <v>53</v>
      </c>
      <c r="C69" s="138" t="s">
        <v>470</v>
      </c>
      <c r="D69" s="139" t="s">
        <v>481</v>
      </c>
      <c r="E69" s="135">
        <f t="shared" si="15"/>
        <v>43221</v>
      </c>
      <c r="F69" s="136">
        <v>14.23</v>
      </c>
      <c r="G69" s="136">
        <f>+'Exhibit No.__(JAP-LIGHT RD) '!G124</f>
        <v>16.3</v>
      </c>
      <c r="H69" s="136">
        <f t="shared" si="16"/>
        <v>2.0700000000000003</v>
      </c>
      <c r="I69" s="216"/>
      <c r="J69" s="216"/>
    </row>
    <row r="70" spans="1:10">
      <c r="A70" s="284">
        <f t="shared" si="2"/>
        <v>65</v>
      </c>
      <c r="B70" s="284">
        <f t="shared" si="14"/>
        <v>53</v>
      </c>
      <c r="C70" s="138" t="s">
        <v>470</v>
      </c>
      <c r="D70" s="139" t="s">
        <v>482</v>
      </c>
      <c r="E70" s="135">
        <f t="shared" si="15"/>
        <v>43221</v>
      </c>
      <c r="F70" s="136">
        <v>15.29</v>
      </c>
      <c r="G70" s="136">
        <f>+'Exhibit No.__(JAP-LIGHT RD) '!G125</f>
        <v>17.14</v>
      </c>
      <c r="H70" s="136">
        <f t="shared" si="16"/>
        <v>1.8500000000000014</v>
      </c>
      <c r="I70" s="216"/>
      <c r="J70" s="216"/>
    </row>
    <row r="71" spans="1:10">
      <c r="A71" s="284">
        <f t="shared" si="2"/>
        <v>66</v>
      </c>
      <c r="B71" s="284">
        <f t="shared" si="14"/>
        <v>53</v>
      </c>
      <c r="C71" s="138" t="s">
        <v>470</v>
      </c>
      <c r="D71" s="139" t="s">
        <v>483</v>
      </c>
      <c r="E71" s="135">
        <f t="shared" si="15"/>
        <v>43221</v>
      </c>
      <c r="F71" s="136">
        <v>16.36</v>
      </c>
      <c r="G71" s="136">
        <f>+'Exhibit No.__(JAP-LIGHT RD) '!G126</f>
        <v>18.75</v>
      </c>
      <c r="H71" s="136">
        <f t="shared" si="16"/>
        <v>2.3900000000000006</v>
      </c>
      <c r="I71" s="216"/>
      <c r="J71" s="216"/>
    </row>
    <row r="72" spans="1:10">
      <c r="A72" s="284">
        <f t="shared" ref="A72:A135" si="17">+A71+1</f>
        <v>67</v>
      </c>
      <c r="B72" s="284">
        <f t="shared" si="14"/>
        <v>53</v>
      </c>
      <c r="C72" s="138" t="s">
        <v>470</v>
      </c>
      <c r="D72" s="139" t="s">
        <v>484</v>
      </c>
      <c r="E72" s="135">
        <f t="shared" si="15"/>
        <v>43221</v>
      </c>
      <c r="F72" s="136">
        <v>17.420000000000002</v>
      </c>
      <c r="G72" s="136">
        <f>+'Exhibit No.__(JAP-LIGHT RD) '!G127</f>
        <v>20.53</v>
      </c>
      <c r="H72" s="136">
        <f t="shared" si="16"/>
        <v>3.1099999999999994</v>
      </c>
      <c r="I72" s="216"/>
      <c r="J72" s="216"/>
    </row>
    <row r="73" spans="1:10">
      <c r="A73" s="284">
        <f t="shared" si="17"/>
        <v>68</v>
      </c>
      <c r="B73" s="284">
        <f t="shared" si="14"/>
        <v>53</v>
      </c>
      <c r="C73" s="138" t="s">
        <v>470</v>
      </c>
      <c r="D73" s="139" t="s">
        <v>485</v>
      </c>
      <c r="E73" s="135">
        <f t="shared" si="15"/>
        <v>43221</v>
      </c>
      <c r="F73" s="136">
        <v>18.489999999999998</v>
      </c>
      <c r="G73" s="136">
        <f>+'Exhibit No.__(JAP-LIGHT RD) '!G128</f>
        <v>21.55</v>
      </c>
      <c r="H73" s="136">
        <f t="shared" si="16"/>
        <v>3.0600000000000023</v>
      </c>
      <c r="I73" s="216"/>
      <c r="J73" s="216"/>
    </row>
    <row r="74" spans="1:10">
      <c r="A74" s="284">
        <f t="shared" si="17"/>
        <v>69</v>
      </c>
      <c r="B74" s="284"/>
      <c r="C74" s="155"/>
      <c r="D74" s="284"/>
      <c r="E74" s="135"/>
      <c r="F74" s="155"/>
      <c r="G74" s="136"/>
      <c r="H74" s="136"/>
      <c r="I74" s="216"/>
      <c r="J74" s="216"/>
    </row>
    <row r="75" spans="1:10">
      <c r="A75" s="284">
        <f t="shared" si="17"/>
        <v>70</v>
      </c>
      <c r="B75" s="284">
        <f t="shared" ref="B75:B83" si="18">+$B$49</f>
        <v>53</v>
      </c>
      <c r="C75" s="155" t="s">
        <v>471</v>
      </c>
      <c r="D75" s="284" t="s">
        <v>460</v>
      </c>
      <c r="E75" s="135">
        <f t="shared" ref="E75:E83" si="19">+$E$6</f>
        <v>43221</v>
      </c>
      <c r="F75" s="136">
        <v>3.64</v>
      </c>
      <c r="G75" s="136">
        <f>+'Exhibit No.__(JAP-LIGHT RD) '!G130</f>
        <v>3.36</v>
      </c>
      <c r="H75" s="136">
        <f t="shared" ref="H75:H83" si="20">+G75-F75</f>
        <v>-0.28000000000000025</v>
      </c>
      <c r="I75" s="216"/>
      <c r="J75" s="216"/>
    </row>
    <row r="76" spans="1:10">
      <c r="A76" s="284">
        <f t="shared" si="17"/>
        <v>71</v>
      </c>
      <c r="B76" s="284">
        <f t="shared" si="18"/>
        <v>53</v>
      </c>
      <c r="C76" s="155" t="s">
        <v>471</v>
      </c>
      <c r="D76" s="284" t="s">
        <v>461</v>
      </c>
      <c r="E76" s="135">
        <f t="shared" si="19"/>
        <v>43221</v>
      </c>
      <c r="F76" s="136">
        <v>4.26</v>
      </c>
      <c r="G76" s="136">
        <f>+'Exhibit No.__(JAP-LIGHT RD) '!G131</f>
        <v>4.04</v>
      </c>
      <c r="H76" s="136">
        <f t="shared" si="20"/>
        <v>-0.21999999999999975</v>
      </c>
      <c r="I76" s="216"/>
      <c r="J76" s="216"/>
    </row>
    <row r="77" spans="1:10">
      <c r="A77" s="284">
        <f t="shared" si="17"/>
        <v>72</v>
      </c>
      <c r="B77" s="284">
        <f t="shared" si="18"/>
        <v>53</v>
      </c>
      <c r="C77" s="155" t="s">
        <v>471</v>
      </c>
      <c r="D77" s="284" t="s">
        <v>450</v>
      </c>
      <c r="E77" s="135">
        <f t="shared" si="19"/>
        <v>43221</v>
      </c>
      <c r="F77" s="136">
        <v>5.19</v>
      </c>
      <c r="G77" s="136">
        <f>+'Exhibit No.__(JAP-LIGHT RD) '!G132</f>
        <v>5.0599999999999996</v>
      </c>
      <c r="H77" s="136">
        <f t="shared" si="20"/>
        <v>-0.13000000000000078</v>
      </c>
      <c r="I77" s="216"/>
      <c r="J77" s="216"/>
    </row>
    <row r="78" spans="1:10">
      <c r="A78" s="284">
        <f t="shared" si="17"/>
        <v>73</v>
      </c>
      <c r="B78" s="284">
        <f t="shared" si="18"/>
        <v>53</v>
      </c>
      <c r="C78" s="155" t="s">
        <v>471</v>
      </c>
      <c r="D78" s="284" t="s">
        <v>462</v>
      </c>
      <c r="E78" s="135">
        <f t="shared" si="19"/>
        <v>43221</v>
      </c>
      <c r="F78" s="136">
        <v>6.73</v>
      </c>
      <c r="G78" s="136">
        <f>+'Exhibit No.__(JAP-LIGHT RD) '!G133</f>
        <v>6.75</v>
      </c>
      <c r="H78" s="136">
        <f t="shared" si="20"/>
        <v>1.9999999999999574E-2</v>
      </c>
      <c r="I78" s="216"/>
      <c r="J78" s="216"/>
    </row>
    <row r="79" spans="1:10">
      <c r="A79" s="284">
        <f t="shared" si="17"/>
        <v>74</v>
      </c>
      <c r="B79" s="284">
        <f t="shared" si="18"/>
        <v>53</v>
      </c>
      <c r="C79" s="155" t="s">
        <v>471</v>
      </c>
      <c r="D79" s="284" t="s">
        <v>463</v>
      </c>
      <c r="E79" s="135">
        <f t="shared" si="19"/>
        <v>43221</v>
      </c>
      <c r="F79" s="136">
        <v>8.27</v>
      </c>
      <c r="G79" s="136">
        <f>+'Exhibit No.__(JAP-LIGHT RD) '!G134</f>
        <v>8.4499999999999993</v>
      </c>
      <c r="H79" s="136">
        <f t="shared" si="20"/>
        <v>0.17999999999999972</v>
      </c>
      <c r="I79" s="216"/>
      <c r="J79" s="216"/>
    </row>
    <row r="80" spans="1:10">
      <c r="A80" s="284">
        <f t="shared" si="17"/>
        <v>75</v>
      </c>
      <c r="B80" s="284">
        <f t="shared" si="18"/>
        <v>53</v>
      </c>
      <c r="C80" s="155" t="s">
        <v>471</v>
      </c>
      <c r="D80" s="284" t="s">
        <v>464</v>
      </c>
      <c r="E80" s="135">
        <f t="shared" si="19"/>
        <v>43221</v>
      </c>
      <c r="F80" s="136">
        <v>9.82</v>
      </c>
      <c r="G80" s="136">
        <f>+'Exhibit No.__(JAP-LIGHT RD) '!G135</f>
        <v>10.15</v>
      </c>
      <c r="H80" s="136">
        <f t="shared" si="20"/>
        <v>0.33000000000000007</v>
      </c>
      <c r="I80" s="216"/>
      <c r="J80" s="216"/>
    </row>
    <row r="81" spans="1:10">
      <c r="A81" s="284">
        <f t="shared" si="17"/>
        <v>76</v>
      </c>
      <c r="B81" s="284">
        <f t="shared" si="18"/>
        <v>53</v>
      </c>
      <c r="C81" s="155" t="s">
        <v>471</v>
      </c>
      <c r="D81" s="284" t="s">
        <v>465</v>
      </c>
      <c r="E81" s="135">
        <f t="shared" si="19"/>
        <v>43221</v>
      </c>
      <c r="F81" s="136">
        <v>11.67</v>
      </c>
      <c r="G81" s="136">
        <f>+'Exhibit No.__(JAP-LIGHT RD) '!G136</f>
        <v>12.19</v>
      </c>
      <c r="H81" s="136">
        <f t="shared" si="20"/>
        <v>0.51999999999999957</v>
      </c>
      <c r="I81" s="216"/>
      <c r="J81" s="216"/>
    </row>
    <row r="82" spans="1:10">
      <c r="A82" s="284">
        <f t="shared" si="17"/>
        <v>77</v>
      </c>
      <c r="B82" s="284">
        <f t="shared" si="18"/>
        <v>53</v>
      </c>
      <c r="C82" s="155" t="s">
        <v>471</v>
      </c>
      <c r="D82" s="284" t="s">
        <v>452</v>
      </c>
      <c r="E82" s="135">
        <f t="shared" si="19"/>
        <v>43221</v>
      </c>
      <c r="F82" s="136">
        <v>14.45</v>
      </c>
      <c r="G82" s="136">
        <f>+'Exhibit No.__(JAP-LIGHT RD) '!G137</f>
        <v>15.25</v>
      </c>
      <c r="H82" s="136">
        <f t="shared" si="20"/>
        <v>0.80000000000000071</v>
      </c>
      <c r="I82" s="216"/>
      <c r="J82" s="216"/>
    </row>
    <row r="83" spans="1:10">
      <c r="A83" s="284">
        <f t="shared" si="17"/>
        <v>78</v>
      </c>
      <c r="B83" s="284">
        <f t="shared" si="18"/>
        <v>53</v>
      </c>
      <c r="C83" s="155" t="s">
        <v>471</v>
      </c>
      <c r="D83" s="284" t="s">
        <v>467</v>
      </c>
      <c r="E83" s="135">
        <f t="shared" si="19"/>
        <v>43221</v>
      </c>
      <c r="F83" s="136">
        <v>32.97</v>
      </c>
      <c r="G83" s="136">
        <f>+'Exhibit No.__(JAP-LIGHT RD) '!G138</f>
        <v>35.630000000000003</v>
      </c>
      <c r="H83" s="136">
        <f t="shared" si="20"/>
        <v>2.6600000000000037</v>
      </c>
      <c r="I83" s="216"/>
      <c r="J83" s="216"/>
    </row>
    <row r="84" spans="1:10">
      <c r="A84" s="284">
        <f t="shared" si="17"/>
        <v>79</v>
      </c>
      <c r="B84" s="284"/>
      <c r="C84" s="155"/>
      <c r="D84" s="284"/>
      <c r="E84" s="155"/>
      <c r="F84" s="155"/>
      <c r="G84" s="136"/>
      <c r="H84" s="136"/>
      <c r="I84" s="216"/>
      <c r="J84" s="216"/>
    </row>
    <row r="85" spans="1:10">
      <c r="A85" s="284">
        <f t="shared" si="17"/>
        <v>80</v>
      </c>
      <c r="B85" s="284">
        <f t="shared" ref="B85:B90" si="21">+$B$49</f>
        <v>53</v>
      </c>
      <c r="C85" s="155" t="s">
        <v>472</v>
      </c>
      <c r="D85" s="284" t="s">
        <v>461</v>
      </c>
      <c r="E85" s="135">
        <f t="shared" ref="E85:E90" si="22">+$E$6</f>
        <v>43221</v>
      </c>
      <c r="F85" s="136">
        <v>6.36</v>
      </c>
      <c r="G85" s="136">
        <f>+'Exhibit No.__(JAP-LIGHT RD) '!G140</f>
        <v>5.7</v>
      </c>
      <c r="H85" s="136">
        <f t="shared" ref="H85:H90" si="23">+G85-F85</f>
        <v>-0.66000000000000014</v>
      </c>
      <c r="I85" s="216"/>
      <c r="J85" s="216"/>
    </row>
    <row r="86" spans="1:10">
      <c r="A86" s="284">
        <f t="shared" si="17"/>
        <v>81</v>
      </c>
      <c r="B86" s="284">
        <f t="shared" si="21"/>
        <v>53</v>
      </c>
      <c r="C86" s="155" t="s">
        <v>472</v>
      </c>
      <c r="D86" s="284" t="s">
        <v>450</v>
      </c>
      <c r="E86" s="135">
        <f t="shared" si="22"/>
        <v>43221</v>
      </c>
      <c r="F86" s="136">
        <v>7.28</v>
      </c>
      <c r="G86" s="136">
        <f>+'Exhibit No.__(JAP-LIGHT RD) '!G141</f>
        <v>6.72</v>
      </c>
      <c r="H86" s="136">
        <f t="shared" si="23"/>
        <v>-0.5600000000000005</v>
      </c>
      <c r="I86" s="216"/>
      <c r="J86" s="216"/>
    </row>
    <row r="87" spans="1:10">
      <c r="A87" s="284">
        <f t="shared" si="17"/>
        <v>82</v>
      </c>
      <c r="B87" s="284">
        <f t="shared" si="21"/>
        <v>53</v>
      </c>
      <c r="C87" s="155" t="s">
        <v>472</v>
      </c>
      <c r="D87" s="284" t="s">
        <v>462</v>
      </c>
      <c r="E87" s="135">
        <f t="shared" si="22"/>
        <v>43221</v>
      </c>
      <c r="F87" s="136">
        <v>8.83</v>
      </c>
      <c r="G87" s="136">
        <f>+'Exhibit No.__(JAP-LIGHT RD) '!G142</f>
        <v>8.41</v>
      </c>
      <c r="H87" s="136">
        <f t="shared" si="23"/>
        <v>-0.41999999999999993</v>
      </c>
      <c r="I87" s="216"/>
      <c r="J87" s="216"/>
    </row>
    <row r="88" spans="1:10">
      <c r="A88" s="284">
        <f t="shared" si="17"/>
        <v>83</v>
      </c>
      <c r="B88" s="284">
        <f t="shared" si="21"/>
        <v>53</v>
      </c>
      <c r="C88" s="155" t="s">
        <v>472</v>
      </c>
      <c r="D88" s="284" t="s">
        <v>451</v>
      </c>
      <c r="E88" s="135">
        <f t="shared" si="22"/>
        <v>43221</v>
      </c>
      <c r="F88" s="136">
        <v>9.6</v>
      </c>
      <c r="G88" s="136">
        <f>+'Exhibit No.__(JAP-LIGHT RD) '!G143</f>
        <v>9.26</v>
      </c>
      <c r="H88" s="136">
        <f t="shared" si="23"/>
        <v>-0.33999999999999986</v>
      </c>
      <c r="I88" s="216"/>
      <c r="J88" s="216"/>
    </row>
    <row r="89" spans="1:10">
      <c r="A89" s="284">
        <f t="shared" si="17"/>
        <v>84</v>
      </c>
      <c r="B89" s="284">
        <f t="shared" si="21"/>
        <v>53</v>
      </c>
      <c r="C89" s="155" t="s">
        <v>472</v>
      </c>
      <c r="D89" s="284" t="s">
        <v>464</v>
      </c>
      <c r="E89" s="135">
        <f t="shared" si="22"/>
        <v>43221</v>
      </c>
      <c r="F89" s="136">
        <v>11.91</v>
      </c>
      <c r="G89" s="136">
        <f>+'Exhibit No.__(JAP-LIGHT RD) '!G144</f>
        <v>11.81</v>
      </c>
      <c r="H89" s="136">
        <f t="shared" si="23"/>
        <v>-9.9999999999999645E-2</v>
      </c>
      <c r="I89" s="216"/>
      <c r="J89" s="216"/>
    </row>
    <row r="90" spans="1:10">
      <c r="A90" s="284">
        <f t="shared" si="17"/>
        <v>85</v>
      </c>
      <c r="B90" s="284">
        <f t="shared" si="21"/>
        <v>53</v>
      </c>
      <c r="C90" s="155" t="s">
        <v>472</v>
      </c>
      <c r="D90" s="284" t="s">
        <v>452</v>
      </c>
      <c r="E90" s="135">
        <f t="shared" si="22"/>
        <v>43221</v>
      </c>
      <c r="F90" s="136">
        <v>16.55</v>
      </c>
      <c r="G90" s="136">
        <f>+'Exhibit No.__(JAP-LIGHT RD) '!G145</f>
        <v>16.91</v>
      </c>
      <c r="H90" s="136">
        <f t="shared" si="23"/>
        <v>0.35999999999999943</v>
      </c>
      <c r="I90" s="216"/>
      <c r="J90" s="216"/>
    </row>
    <row r="91" spans="1:10">
      <c r="A91" s="284">
        <f t="shared" si="17"/>
        <v>86</v>
      </c>
      <c r="B91" s="284"/>
      <c r="C91" s="155"/>
      <c r="D91" s="284"/>
      <c r="E91" s="155"/>
      <c r="F91" s="155"/>
      <c r="G91" s="136"/>
      <c r="H91" s="136"/>
      <c r="I91" s="216"/>
      <c r="J91" s="216"/>
    </row>
    <row r="92" spans="1:10">
      <c r="A92" s="284">
        <f t="shared" si="17"/>
        <v>87</v>
      </c>
      <c r="B92" s="284">
        <f t="shared" ref="B92:B100" si="24">+$B$49</f>
        <v>53</v>
      </c>
      <c r="C92" s="138" t="s">
        <v>473</v>
      </c>
      <c r="D92" s="139" t="s">
        <v>506</v>
      </c>
      <c r="E92" s="135">
        <f t="shared" ref="E92:E100" si="25">+$E$6</f>
        <v>43221</v>
      </c>
      <c r="F92" s="136">
        <v>1.81</v>
      </c>
      <c r="G92" s="136">
        <f>+'Exhibit No.__(JAP-LIGHT RD) '!G147</f>
        <v>1.86</v>
      </c>
      <c r="H92" s="136">
        <f t="shared" ref="H92" si="26">+G92-F92</f>
        <v>5.0000000000000044E-2</v>
      </c>
      <c r="I92" s="216"/>
      <c r="J92" s="216"/>
    </row>
    <row r="93" spans="1:10">
      <c r="A93" s="284">
        <f t="shared" si="17"/>
        <v>88</v>
      </c>
      <c r="B93" s="284">
        <f t="shared" si="24"/>
        <v>53</v>
      </c>
      <c r="C93" s="138" t="s">
        <v>470</v>
      </c>
      <c r="D93" s="139" t="s">
        <v>507</v>
      </c>
      <c r="E93" s="135">
        <f t="shared" si="25"/>
        <v>43221</v>
      </c>
      <c r="F93" s="136">
        <v>2.74</v>
      </c>
      <c r="G93" s="136">
        <f>+'Exhibit No.__(JAP-LIGHT RD) '!G148</f>
        <v>2.88</v>
      </c>
      <c r="H93" s="136">
        <f t="shared" ref="H93:H100" si="27">+G93-F93</f>
        <v>0.13999999999999968</v>
      </c>
      <c r="I93" s="216"/>
      <c r="J93" s="216"/>
    </row>
    <row r="94" spans="1:10">
      <c r="A94" s="284">
        <f t="shared" si="17"/>
        <v>89</v>
      </c>
      <c r="B94" s="284">
        <f t="shared" si="24"/>
        <v>53</v>
      </c>
      <c r="C94" s="138" t="s">
        <v>470</v>
      </c>
      <c r="D94" s="139" t="s">
        <v>508</v>
      </c>
      <c r="E94" s="135">
        <f t="shared" si="25"/>
        <v>43221</v>
      </c>
      <c r="F94" s="136">
        <v>3.66</v>
      </c>
      <c r="G94" s="136">
        <f>+'Exhibit No.__(JAP-LIGHT RD) '!G149</f>
        <v>3.9</v>
      </c>
      <c r="H94" s="136">
        <f t="shared" si="27"/>
        <v>0.23999999999999977</v>
      </c>
      <c r="I94" s="216"/>
      <c r="J94" s="216"/>
    </row>
    <row r="95" spans="1:10">
      <c r="A95" s="284">
        <f t="shared" si="17"/>
        <v>90</v>
      </c>
      <c r="B95" s="284">
        <f t="shared" si="24"/>
        <v>53</v>
      </c>
      <c r="C95" s="138" t="s">
        <v>470</v>
      </c>
      <c r="D95" s="139" t="s">
        <v>480</v>
      </c>
      <c r="E95" s="135">
        <f t="shared" si="25"/>
        <v>43221</v>
      </c>
      <c r="F95" s="136">
        <v>4.59</v>
      </c>
      <c r="G95" s="136">
        <f>+'Exhibit No.__(JAP-LIGHT RD) '!G150</f>
        <v>4.92</v>
      </c>
      <c r="H95" s="136">
        <f t="shared" si="27"/>
        <v>0.33000000000000007</v>
      </c>
      <c r="I95" s="216"/>
      <c r="J95" s="216"/>
    </row>
    <row r="96" spans="1:10">
      <c r="A96" s="284">
        <f t="shared" si="17"/>
        <v>91</v>
      </c>
      <c r="B96" s="284">
        <f t="shared" si="24"/>
        <v>53</v>
      </c>
      <c r="C96" s="138" t="s">
        <v>470</v>
      </c>
      <c r="D96" s="139" t="s">
        <v>481</v>
      </c>
      <c r="E96" s="135">
        <f t="shared" si="25"/>
        <v>43221</v>
      </c>
      <c r="F96" s="136">
        <v>5.51</v>
      </c>
      <c r="G96" s="136">
        <f>+'Exhibit No.__(JAP-LIGHT RD) '!G151</f>
        <v>5.94</v>
      </c>
      <c r="H96" s="136">
        <f t="shared" si="27"/>
        <v>0.4300000000000006</v>
      </c>
      <c r="I96" s="216"/>
      <c r="J96" s="216"/>
    </row>
    <row r="97" spans="1:10">
      <c r="A97" s="284">
        <f t="shared" si="17"/>
        <v>92</v>
      </c>
      <c r="B97" s="284">
        <f t="shared" si="24"/>
        <v>53</v>
      </c>
      <c r="C97" s="138" t="s">
        <v>470</v>
      </c>
      <c r="D97" s="139" t="s">
        <v>482</v>
      </c>
      <c r="E97" s="135">
        <f t="shared" si="25"/>
        <v>43221</v>
      </c>
      <c r="F97" s="136">
        <v>6.44</v>
      </c>
      <c r="G97" s="136">
        <f>+'Exhibit No.__(JAP-LIGHT RD) '!G152</f>
        <v>6.96</v>
      </c>
      <c r="H97" s="136">
        <f t="shared" si="27"/>
        <v>0.51999999999999957</v>
      </c>
      <c r="I97" s="216"/>
      <c r="J97" s="216"/>
    </row>
    <row r="98" spans="1:10">
      <c r="A98" s="284">
        <f t="shared" si="17"/>
        <v>93</v>
      </c>
      <c r="B98" s="284">
        <f t="shared" si="24"/>
        <v>53</v>
      </c>
      <c r="C98" s="138" t="s">
        <v>470</v>
      </c>
      <c r="D98" s="139" t="s">
        <v>483</v>
      </c>
      <c r="E98" s="135">
        <f t="shared" si="25"/>
        <v>43221</v>
      </c>
      <c r="F98" s="136">
        <v>7.37</v>
      </c>
      <c r="G98" s="136">
        <f>+'Exhibit No.__(JAP-LIGHT RD) '!G153</f>
        <v>7.97</v>
      </c>
      <c r="H98" s="136">
        <f t="shared" si="27"/>
        <v>0.59999999999999964</v>
      </c>
      <c r="I98" s="216"/>
      <c r="J98" s="216"/>
    </row>
    <row r="99" spans="1:10">
      <c r="A99" s="284">
        <f t="shared" si="17"/>
        <v>94</v>
      </c>
      <c r="B99" s="284">
        <f t="shared" si="24"/>
        <v>53</v>
      </c>
      <c r="C99" s="138" t="s">
        <v>470</v>
      </c>
      <c r="D99" s="139" t="s">
        <v>484</v>
      </c>
      <c r="E99" s="135">
        <f t="shared" si="25"/>
        <v>43221</v>
      </c>
      <c r="F99" s="136">
        <v>8.2899999999999991</v>
      </c>
      <c r="G99" s="136">
        <f>+'Exhibit No.__(JAP-LIGHT RD) '!G154</f>
        <v>8.99</v>
      </c>
      <c r="H99" s="136">
        <f t="shared" si="27"/>
        <v>0.70000000000000107</v>
      </c>
      <c r="I99" s="216"/>
      <c r="J99" s="216"/>
    </row>
    <row r="100" spans="1:10">
      <c r="A100" s="284">
        <f t="shared" si="17"/>
        <v>95</v>
      </c>
      <c r="B100" s="284">
        <f t="shared" si="24"/>
        <v>53</v>
      </c>
      <c r="C100" s="138" t="s">
        <v>470</v>
      </c>
      <c r="D100" s="139" t="s">
        <v>485</v>
      </c>
      <c r="E100" s="135">
        <f t="shared" si="25"/>
        <v>43221</v>
      </c>
      <c r="F100" s="136">
        <v>9.2200000000000006</v>
      </c>
      <c r="G100" s="136">
        <f>+'Exhibit No.__(JAP-LIGHT RD) '!G155</f>
        <v>10.01</v>
      </c>
      <c r="H100" s="136">
        <f t="shared" si="27"/>
        <v>0.78999999999999915</v>
      </c>
      <c r="I100" s="216"/>
      <c r="J100" s="216"/>
    </row>
    <row r="101" spans="1:10">
      <c r="A101" s="284">
        <f t="shared" si="17"/>
        <v>96</v>
      </c>
      <c r="B101" s="284"/>
      <c r="C101" s="155"/>
      <c r="D101" s="284"/>
      <c r="E101" s="135"/>
      <c r="F101" s="155"/>
      <c r="G101" s="136"/>
      <c r="H101" s="136"/>
      <c r="I101" s="216"/>
      <c r="J101" s="216"/>
    </row>
    <row r="102" spans="1:10">
      <c r="A102" s="284">
        <f t="shared" si="17"/>
        <v>97</v>
      </c>
      <c r="B102" s="284">
        <v>54</v>
      </c>
      <c r="C102" s="155" t="s">
        <v>474</v>
      </c>
      <c r="D102" s="284" t="s">
        <v>460</v>
      </c>
      <c r="E102" s="135">
        <f t="shared" ref="E102:E110" si="28">+$E$6</f>
        <v>43221</v>
      </c>
      <c r="F102" s="136">
        <v>1.54</v>
      </c>
      <c r="G102" s="136">
        <f>+'Exhibit No.__(JAP-LIGHT RD) '!G170</f>
        <v>1.7</v>
      </c>
      <c r="H102" s="136">
        <f t="shared" ref="H102:H110" si="29">+G102-F102</f>
        <v>0.15999999999999992</v>
      </c>
      <c r="I102" s="216"/>
      <c r="J102" s="216"/>
    </row>
    <row r="103" spans="1:10">
      <c r="A103" s="284">
        <f t="shared" si="17"/>
        <v>98</v>
      </c>
      <c r="B103" s="284">
        <f>+$B$102</f>
        <v>54</v>
      </c>
      <c r="C103" s="155" t="s">
        <v>474</v>
      </c>
      <c r="D103" s="284" t="s">
        <v>461</v>
      </c>
      <c r="E103" s="135">
        <f t="shared" si="28"/>
        <v>43221</v>
      </c>
      <c r="F103" s="136">
        <v>2.16</v>
      </c>
      <c r="G103" s="136">
        <f>+'Exhibit No.__(JAP-LIGHT RD) '!G171</f>
        <v>2.38</v>
      </c>
      <c r="H103" s="136">
        <f t="shared" si="29"/>
        <v>0.21999999999999975</v>
      </c>
      <c r="I103" s="216"/>
      <c r="J103" s="216"/>
    </row>
    <row r="104" spans="1:10">
      <c r="A104" s="284">
        <f t="shared" si="17"/>
        <v>99</v>
      </c>
      <c r="B104" s="284">
        <f t="shared" ref="B104:B110" si="30">+$B$102</f>
        <v>54</v>
      </c>
      <c r="C104" s="155" t="s">
        <v>474</v>
      </c>
      <c r="D104" s="284" t="s">
        <v>450</v>
      </c>
      <c r="E104" s="135">
        <f t="shared" si="28"/>
        <v>43221</v>
      </c>
      <c r="F104" s="136">
        <v>3.09</v>
      </c>
      <c r="G104" s="136">
        <f>+'Exhibit No.__(JAP-LIGHT RD) '!G172</f>
        <v>3.4</v>
      </c>
      <c r="H104" s="136">
        <f t="shared" si="29"/>
        <v>0.31000000000000005</v>
      </c>
      <c r="I104" s="216"/>
      <c r="J104" s="216"/>
    </row>
    <row r="105" spans="1:10">
      <c r="A105" s="284">
        <f t="shared" si="17"/>
        <v>100</v>
      </c>
      <c r="B105" s="284">
        <f t="shared" si="30"/>
        <v>54</v>
      </c>
      <c r="C105" s="155" t="s">
        <v>474</v>
      </c>
      <c r="D105" s="284" t="s">
        <v>462</v>
      </c>
      <c r="E105" s="135">
        <f t="shared" si="28"/>
        <v>43221</v>
      </c>
      <c r="F105" s="136">
        <v>4.63</v>
      </c>
      <c r="G105" s="136">
        <f>+'Exhibit No.__(JAP-LIGHT RD) '!G173</f>
        <v>5.0999999999999996</v>
      </c>
      <c r="H105" s="136">
        <f t="shared" si="29"/>
        <v>0.46999999999999975</v>
      </c>
      <c r="I105" s="216"/>
      <c r="J105" s="216"/>
    </row>
    <row r="106" spans="1:10">
      <c r="A106" s="284">
        <f t="shared" si="17"/>
        <v>101</v>
      </c>
      <c r="B106" s="284">
        <f t="shared" si="30"/>
        <v>54</v>
      </c>
      <c r="C106" s="155" t="s">
        <v>474</v>
      </c>
      <c r="D106" s="284" t="s">
        <v>463</v>
      </c>
      <c r="E106" s="135">
        <f t="shared" si="28"/>
        <v>43221</v>
      </c>
      <c r="F106" s="136">
        <v>6.17</v>
      </c>
      <c r="G106" s="136">
        <f>+'Exhibit No.__(JAP-LIGHT RD) '!G174</f>
        <v>6.79</v>
      </c>
      <c r="H106" s="136">
        <f t="shared" si="29"/>
        <v>0.62000000000000011</v>
      </c>
      <c r="I106" s="216"/>
      <c r="J106" s="216"/>
    </row>
    <row r="107" spans="1:10">
      <c r="A107" s="284">
        <f t="shared" si="17"/>
        <v>102</v>
      </c>
      <c r="B107" s="284">
        <f t="shared" si="30"/>
        <v>54</v>
      </c>
      <c r="C107" s="155" t="s">
        <v>474</v>
      </c>
      <c r="D107" s="284" t="s">
        <v>464</v>
      </c>
      <c r="E107" s="135">
        <f t="shared" si="28"/>
        <v>43221</v>
      </c>
      <c r="F107" s="136">
        <v>7.72</v>
      </c>
      <c r="G107" s="136">
        <f>+'Exhibit No.__(JAP-LIGHT RD) '!G175</f>
        <v>8.49</v>
      </c>
      <c r="H107" s="136">
        <f t="shared" si="29"/>
        <v>0.77000000000000046</v>
      </c>
      <c r="I107" s="216"/>
      <c r="J107" s="216"/>
    </row>
    <row r="108" spans="1:10">
      <c r="A108" s="284">
        <f t="shared" si="17"/>
        <v>103</v>
      </c>
      <c r="B108" s="284">
        <f t="shared" si="30"/>
        <v>54</v>
      </c>
      <c r="C108" s="155" t="s">
        <v>474</v>
      </c>
      <c r="D108" s="284" t="s">
        <v>465</v>
      </c>
      <c r="E108" s="135">
        <f t="shared" si="28"/>
        <v>43221</v>
      </c>
      <c r="F108" s="136">
        <v>9.57</v>
      </c>
      <c r="G108" s="136">
        <f>+'Exhibit No.__(JAP-LIGHT RD) '!G176</f>
        <v>10.53</v>
      </c>
      <c r="H108" s="136">
        <f t="shared" si="29"/>
        <v>0.95999999999999908</v>
      </c>
      <c r="I108" s="216"/>
      <c r="J108" s="216"/>
    </row>
    <row r="109" spans="1:10">
      <c r="A109" s="284">
        <f t="shared" si="17"/>
        <v>104</v>
      </c>
      <c r="B109" s="284">
        <f t="shared" si="30"/>
        <v>54</v>
      </c>
      <c r="C109" s="155" t="s">
        <v>474</v>
      </c>
      <c r="D109" s="284" t="s">
        <v>452</v>
      </c>
      <c r="E109" s="135">
        <f t="shared" si="28"/>
        <v>43221</v>
      </c>
      <c r="F109" s="136">
        <v>12.35</v>
      </c>
      <c r="G109" s="136">
        <f>+'Exhibit No.__(JAP-LIGHT RD) '!G177</f>
        <v>13.59</v>
      </c>
      <c r="H109" s="136">
        <f t="shared" si="29"/>
        <v>1.2400000000000002</v>
      </c>
      <c r="I109" s="216"/>
      <c r="J109" s="216"/>
    </row>
    <row r="110" spans="1:10">
      <c r="A110" s="284">
        <f t="shared" si="17"/>
        <v>105</v>
      </c>
      <c r="B110" s="284">
        <f t="shared" si="30"/>
        <v>54</v>
      </c>
      <c r="C110" s="155" t="s">
        <v>474</v>
      </c>
      <c r="D110" s="284" t="s">
        <v>467</v>
      </c>
      <c r="E110" s="135">
        <f t="shared" si="28"/>
        <v>43221</v>
      </c>
      <c r="F110" s="136">
        <v>30.87</v>
      </c>
      <c r="G110" s="136">
        <f>+'Exhibit No.__(JAP-LIGHT RD) '!G178</f>
        <v>33.97</v>
      </c>
      <c r="H110" s="136">
        <f t="shared" si="29"/>
        <v>3.0999999999999979</v>
      </c>
      <c r="I110" s="216"/>
      <c r="J110" s="216"/>
    </row>
    <row r="111" spans="1:10">
      <c r="A111" s="284">
        <f t="shared" si="17"/>
        <v>106</v>
      </c>
      <c r="B111" s="284"/>
      <c r="C111" s="155"/>
      <c r="D111" s="284"/>
      <c r="E111" s="155"/>
      <c r="F111" s="155"/>
      <c r="G111" s="136"/>
      <c r="H111" s="136"/>
      <c r="I111" s="216"/>
      <c r="J111" s="216"/>
    </row>
    <row r="112" spans="1:10">
      <c r="A112" s="284">
        <f t="shared" si="17"/>
        <v>107</v>
      </c>
      <c r="B112" s="284">
        <f t="shared" ref="B112:B120" si="31">+$B$102</f>
        <v>54</v>
      </c>
      <c r="C112" s="138" t="s">
        <v>475</v>
      </c>
      <c r="D112" s="139" t="s">
        <v>506</v>
      </c>
      <c r="E112" s="135">
        <f t="shared" ref="E112:E120" si="32">+$E$6</f>
        <v>43221</v>
      </c>
      <c r="F112" s="136">
        <v>1.39</v>
      </c>
      <c r="G112" s="136">
        <f>+'Exhibit No.__(JAP-LIGHT RD) '!G180</f>
        <v>1.53</v>
      </c>
      <c r="H112" s="136">
        <f t="shared" ref="H112" si="33">+G112-F112</f>
        <v>0.14000000000000012</v>
      </c>
      <c r="I112" s="216"/>
      <c r="J112" s="216"/>
    </row>
    <row r="113" spans="1:10">
      <c r="A113" s="284">
        <f t="shared" si="17"/>
        <v>108</v>
      </c>
      <c r="B113" s="284">
        <f t="shared" si="31"/>
        <v>54</v>
      </c>
      <c r="C113" s="138" t="s">
        <v>475</v>
      </c>
      <c r="D113" s="139" t="s">
        <v>507</v>
      </c>
      <c r="E113" s="135">
        <f t="shared" si="32"/>
        <v>43221</v>
      </c>
      <c r="F113" s="136">
        <v>2.3199999999999998</v>
      </c>
      <c r="G113" s="136">
        <f>+'Exhibit No.__(JAP-LIGHT RD) '!G181</f>
        <v>2.5499999999999998</v>
      </c>
      <c r="H113" s="136">
        <f t="shared" ref="H113:H120" si="34">+G113-F113</f>
        <v>0.22999999999999998</v>
      </c>
      <c r="I113" s="216"/>
      <c r="J113" s="216"/>
    </row>
    <row r="114" spans="1:10">
      <c r="A114" s="284">
        <f t="shared" si="17"/>
        <v>109</v>
      </c>
      <c r="B114" s="284">
        <f t="shared" si="31"/>
        <v>54</v>
      </c>
      <c r="C114" s="138" t="s">
        <v>475</v>
      </c>
      <c r="D114" s="139" t="s">
        <v>508</v>
      </c>
      <c r="E114" s="135">
        <f t="shared" si="32"/>
        <v>43221</v>
      </c>
      <c r="F114" s="136">
        <v>3.24</v>
      </c>
      <c r="G114" s="136">
        <f>+'Exhibit No.__(JAP-LIGHT RD) '!G182</f>
        <v>3.57</v>
      </c>
      <c r="H114" s="136">
        <f t="shared" si="34"/>
        <v>0.32999999999999963</v>
      </c>
      <c r="I114" s="216"/>
      <c r="J114" s="216"/>
    </row>
    <row r="115" spans="1:10">
      <c r="A115" s="284">
        <f t="shared" si="17"/>
        <v>110</v>
      </c>
      <c r="B115" s="284">
        <f t="shared" si="31"/>
        <v>54</v>
      </c>
      <c r="C115" s="138" t="s">
        <v>475</v>
      </c>
      <c r="D115" s="139" t="s">
        <v>480</v>
      </c>
      <c r="E115" s="135">
        <f t="shared" si="32"/>
        <v>43221</v>
      </c>
      <c r="F115" s="136">
        <v>4.17</v>
      </c>
      <c r="G115" s="136">
        <f>+'Exhibit No.__(JAP-LIGHT RD) '!G183</f>
        <v>4.59</v>
      </c>
      <c r="H115" s="136">
        <f t="shared" si="34"/>
        <v>0.41999999999999993</v>
      </c>
      <c r="I115" s="216"/>
      <c r="J115" s="216"/>
    </row>
    <row r="116" spans="1:10">
      <c r="A116" s="284">
        <f t="shared" si="17"/>
        <v>111</v>
      </c>
      <c r="B116" s="284">
        <f t="shared" si="31"/>
        <v>54</v>
      </c>
      <c r="C116" s="138" t="s">
        <v>475</v>
      </c>
      <c r="D116" s="139" t="s">
        <v>481</v>
      </c>
      <c r="E116" s="135">
        <f t="shared" si="32"/>
        <v>43221</v>
      </c>
      <c r="F116" s="136">
        <v>5.09</v>
      </c>
      <c r="G116" s="136">
        <f>+'Exhibit No.__(JAP-LIGHT RD) '!G184</f>
        <v>5.6</v>
      </c>
      <c r="H116" s="136">
        <f t="shared" si="34"/>
        <v>0.50999999999999979</v>
      </c>
      <c r="I116" s="216"/>
      <c r="J116" s="216"/>
    </row>
    <row r="117" spans="1:10">
      <c r="A117" s="284">
        <f t="shared" si="17"/>
        <v>112</v>
      </c>
      <c r="B117" s="284">
        <f t="shared" si="31"/>
        <v>54</v>
      </c>
      <c r="C117" s="138" t="s">
        <v>475</v>
      </c>
      <c r="D117" s="139" t="s">
        <v>482</v>
      </c>
      <c r="E117" s="135">
        <f t="shared" si="32"/>
        <v>43221</v>
      </c>
      <c r="F117" s="136">
        <v>6.02</v>
      </c>
      <c r="G117" s="136">
        <f>+'Exhibit No.__(JAP-LIGHT RD) '!G185</f>
        <v>6.62</v>
      </c>
      <c r="H117" s="136">
        <f t="shared" si="34"/>
        <v>0.60000000000000053</v>
      </c>
      <c r="I117" s="216"/>
      <c r="J117" s="216"/>
    </row>
    <row r="118" spans="1:10">
      <c r="A118" s="284">
        <f t="shared" si="17"/>
        <v>113</v>
      </c>
      <c r="B118" s="284">
        <f t="shared" si="31"/>
        <v>54</v>
      </c>
      <c r="C118" s="138" t="s">
        <v>475</v>
      </c>
      <c r="D118" s="139" t="s">
        <v>483</v>
      </c>
      <c r="E118" s="135">
        <f t="shared" si="32"/>
        <v>43221</v>
      </c>
      <c r="F118" s="136">
        <v>6.95</v>
      </c>
      <c r="G118" s="136">
        <f>+'Exhibit No.__(JAP-LIGHT RD) '!G186</f>
        <v>7.64</v>
      </c>
      <c r="H118" s="136">
        <f t="shared" si="34"/>
        <v>0.6899999999999995</v>
      </c>
      <c r="I118" s="216"/>
      <c r="J118" s="216"/>
    </row>
    <row r="119" spans="1:10">
      <c r="A119" s="284">
        <f t="shared" si="17"/>
        <v>114</v>
      </c>
      <c r="B119" s="284">
        <f t="shared" si="31"/>
        <v>54</v>
      </c>
      <c r="C119" s="138" t="s">
        <v>475</v>
      </c>
      <c r="D119" s="139" t="s">
        <v>484</v>
      </c>
      <c r="E119" s="135">
        <f t="shared" si="32"/>
        <v>43221</v>
      </c>
      <c r="F119" s="136">
        <v>7.87</v>
      </c>
      <c r="G119" s="136">
        <f>+'Exhibit No.__(JAP-LIGHT RD) '!G187</f>
        <v>8.66</v>
      </c>
      <c r="H119" s="136">
        <f t="shared" si="34"/>
        <v>0.79</v>
      </c>
      <c r="I119" s="216"/>
      <c r="J119" s="216"/>
    </row>
    <row r="120" spans="1:10">
      <c r="A120" s="284">
        <f t="shared" si="17"/>
        <v>115</v>
      </c>
      <c r="B120" s="284">
        <f t="shared" si="31"/>
        <v>54</v>
      </c>
      <c r="C120" s="138" t="s">
        <v>475</v>
      </c>
      <c r="D120" s="139" t="s">
        <v>485</v>
      </c>
      <c r="E120" s="135">
        <f t="shared" si="32"/>
        <v>43221</v>
      </c>
      <c r="F120" s="136">
        <v>8.8000000000000007</v>
      </c>
      <c r="G120" s="136">
        <f>+'Exhibit No.__(JAP-LIGHT RD) '!G188</f>
        <v>9.68</v>
      </c>
      <c r="H120" s="136">
        <f t="shared" si="34"/>
        <v>0.87999999999999901</v>
      </c>
      <c r="I120" s="216"/>
      <c r="J120" s="216"/>
    </row>
    <row r="121" spans="1:10">
      <c r="A121" s="284">
        <f t="shared" si="17"/>
        <v>116</v>
      </c>
      <c r="B121" s="284"/>
      <c r="C121" s="155"/>
      <c r="D121" s="284"/>
      <c r="E121" s="135"/>
      <c r="F121" s="155"/>
      <c r="G121" s="136"/>
      <c r="H121" s="136"/>
      <c r="I121" s="216"/>
      <c r="J121" s="216"/>
    </row>
    <row r="122" spans="1:10">
      <c r="A122" s="284">
        <f t="shared" si="17"/>
        <v>117</v>
      </c>
      <c r="B122" s="284" t="s">
        <v>476</v>
      </c>
      <c r="C122" s="155" t="s">
        <v>477</v>
      </c>
      <c r="D122" s="284" t="s">
        <v>461</v>
      </c>
      <c r="E122" s="135">
        <f t="shared" ref="E122:E127" si="35">+$E$49</f>
        <v>43252</v>
      </c>
      <c r="F122" s="136">
        <v>11.53</v>
      </c>
      <c r="G122" s="136">
        <f>+'Exhibit No.__(JAP-LIGHT RD) '!G201</f>
        <v>14.247387233866368</v>
      </c>
      <c r="H122" s="136">
        <f t="shared" ref="H122:H127" si="36">+G122-F122</f>
        <v>2.7173872338663685</v>
      </c>
      <c r="I122" s="216"/>
      <c r="J122" s="216"/>
    </row>
    <row r="123" spans="1:10">
      <c r="A123" s="284">
        <f t="shared" si="17"/>
        <v>118</v>
      </c>
      <c r="B123" s="284" t="str">
        <f>+$B$122</f>
        <v>55 (56)</v>
      </c>
      <c r="C123" s="155" t="s">
        <v>477</v>
      </c>
      <c r="D123" s="284" t="s">
        <v>450</v>
      </c>
      <c r="E123" s="135">
        <f t="shared" si="35"/>
        <v>43252</v>
      </c>
      <c r="F123" s="136">
        <v>12.72</v>
      </c>
      <c r="G123" s="136">
        <f>+'Exhibit No.__(JAP-LIGHT RD) '!G202</f>
        <v>14.693422889297366</v>
      </c>
      <c r="H123" s="136">
        <f t="shared" si="36"/>
        <v>1.9734228892973658</v>
      </c>
      <c r="I123" s="216"/>
      <c r="J123" s="216"/>
    </row>
    <row r="124" spans="1:10">
      <c r="A124" s="284">
        <f t="shared" si="17"/>
        <v>119</v>
      </c>
      <c r="B124" s="284" t="str">
        <f>+$B$122</f>
        <v>55 (56)</v>
      </c>
      <c r="C124" s="155" t="s">
        <v>477</v>
      </c>
      <c r="D124" s="284" t="s">
        <v>462</v>
      </c>
      <c r="E124" s="135">
        <f t="shared" si="35"/>
        <v>43252</v>
      </c>
      <c r="F124" s="136">
        <v>14.71</v>
      </c>
      <c r="G124" s="136">
        <f>+'Exhibit No.__(JAP-LIGHT RD) '!G203</f>
        <v>16.415607340455864</v>
      </c>
      <c r="H124" s="136">
        <f t="shared" si="36"/>
        <v>1.7056073404558632</v>
      </c>
      <c r="I124" s="216"/>
      <c r="J124" s="216"/>
    </row>
    <row r="125" spans="1:10">
      <c r="A125" s="284">
        <f t="shared" si="17"/>
        <v>120</v>
      </c>
      <c r="B125" s="284" t="str">
        <f>+$B$122</f>
        <v>55 (56)</v>
      </c>
      <c r="C125" s="155" t="s">
        <v>477</v>
      </c>
      <c r="D125" s="284" t="s">
        <v>463</v>
      </c>
      <c r="E125" s="135">
        <f t="shared" si="35"/>
        <v>43252</v>
      </c>
      <c r="F125" s="136">
        <v>16.690000000000001</v>
      </c>
      <c r="G125" s="136">
        <f>+'Exhibit No.__(JAP-LIGHT RD) '!G204</f>
        <v>18.668045491843845</v>
      </c>
      <c r="H125" s="136">
        <f t="shared" si="36"/>
        <v>1.9780454918438437</v>
      </c>
      <c r="I125" s="216"/>
      <c r="J125" s="216"/>
    </row>
    <row r="126" spans="1:10">
      <c r="A126" s="284">
        <f t="shared" si="17"/>
        <v>121</v>
      </c>
      <c r="B126" s="284" t="str">
        <f>+$B$122</f>
        <v>55 (56)</v>
      </c>
      <c r="C126" s="155" t="s">
        <v>477</v>
      </c>
      <c r="D126" s="284" t="s">
        <v>464</v>
      </c>
      <c r="E126" s="135">
        <f t="shared" si="35"/>
        <v>43252</v>
      </c>
      <c r="F126" s="136">
        <v>18.68</v>
      </c>
      <c r="G126" s="136">
        <f>+'Exhibit No.__(JAP-LIGHT RD) '!G205</f>
        <v>20.552059856818232</v>
      </c>
      <c r="H126" s="136">
        <f t="shared" si="36"/>
        <v>1.8720598568182325</v>
      </c>
      <c r="I126" s="216"/>
      <c r="J126" s="216"/>
    </row>
    <row r="127" spans="1:10">
      <c r="A127" s="284">
        <f t="shared" si="17"/>
        <v>122</v>
      </c>
      <c r="B127" s="284" t="str">
        <f>+$B$122</f>
        <v>55 (56)</v>
      </c>
      <c r="C127" s="155" t="s">
        <v>477</v>
      </c>
      <c r="D127" s="284" t="s">
        <v>452</v>
      </c>
      <c r="E127" s="135">
        <f t="shared" si="35"/>
        <v>43252</v>
      </c>
      <c r="F127" s="136">
        <v>24.63</v>
      </c>
      <c r="G127" s="136">
        <f>+'Exhibit No.__(JAP-LIGHT RD) '!G206</f>
        <v>26.848258662274326</v>
      </c>
      <c r="H127" s="136">
        <f t="shared" si="36"/>
        <v>2.2182586622743266</v>
      </c>
      <c r="I127" s="216"/>
      <c r="J127" s="216"/>
    </row>
    <row r="128" spans="1:10">
      <c r="A128" s="284">
        <f t="shared" si="17"/>
        <v>123</v>
      </c>
      <c r="B128" s="284"/>
      <c r="C128" s="155"/>
      <c r="D128" s="284"/>
      <c r="E128" s="135"/>
      <c r="F128" s="136"/>
      <c r="G128" s="136"/>
      <c r="H128" s="136"/>
      <c r="I128" s="216"/>
      <c r="J128" s="216"/>
    </row>
    <row r="129" spans="1:10">
      <c r="A129" s="284">
        <f t="shared" si="17"/>
        <v>124</v>
      </c>
      <c r="B129" s="284" t="str">
        <f>+$B$122</f>
        <v>55 (56)</v>
      </c>
      <c r="C129" s="155" t="s">
        <v>478</v>
      </c>
      <c r="D129" s="284" t="s">
        <v>464</v>
      </c>
      <c r="E129" s="135">
        <f>+$E$49</f>
        <v>43252</v>
      </c>
      <c r="F129" s="136">
        <v>21.8</v>
      </c>
      <c r="G129" s="136">
        <f>+'Exhibit No.__(JAP-LIGHT RD) '!G208</f>
        <v>22.112411979716097</v>
      </c>
      <c r="H129" s="136">
        <f t="shared" ref="H129" si="37">+G129-F129</f>
        <v>0.3124119797160958</v>
      </c>
      <c r="I129" s="216"/>
      <c r="J129" s="216"/>
    </row>
    <row r="130" spans="1:10">
      <c r="A130" s="284">
        <f t="shared" si="17"/>
        <v>125</v>
      </c>
      <c r="B130" s="284"/>
      <c r="C130" s="155"/>
      <c r="D130" s="284"/>
      <c r="E130" s="135"/>
      <c r="F130" s="136"/>
      <c r="G130" s="136"/>
      <c r="H130" s="136"/>
      <c r="I130" s="216"/>
      <c r="J130" s="216"/>
    </row>
    <row r="131" spans="1:10">
      <c r="A131" s="284">
        <f t="shared" si="17"/>
        <v>126</v>
      </c>
      <c r="B131" s="284" t="str">
        <f t="shared" ref="B131:B139" si="38">+$B$122</f>
        <v>55 (56)</v>
      </c>
      <c r="C131" s="138" t="s">
        <v>479</v>
      </c>
      <c r="D131" s="139" t="s">
        <v>506</v>
      </c>
      <c r="E131" s="135">
        <f t="shared" ref="E131:E139" si="39">+$E$49</f>
        <v>43252</v>
      </c>
      <c r="F131" s="136">
        <v>12.31</v>
      </c>
      <c r="G131" s="136">
        <f>+'Exhibit No.__(JAP-LIGHT RD) '!G210</f>
        <v>10.85</v>
      </c>
      <c r="H131" s="136">
        <f t="shared" ref="H131" si="40">+G131-F131</f>
        <v>-1.4600000000000009</v>
      </c>
      <c r="I131" s="216"/>
      <c r="J131" s="216"/>
    </row>
    <row r="132" spans="1:10">
      <c r="A132" s="284">
        <f t="shared" si="17"/>
        <v>127</v>
      </c>
      <c r="B132" s="284" t="str">
        <f t="shared" si="38"/>
        <v>55 (56)</v>
      </c>
      <c r="C132" s="138" t="s">
        <v>479</v>
      </c>
      <c r="D132" s="139" t="s">
        <v>507</v>
      </c>
      <c r="E132" s="135">
        <f t="shared" si="39"/>
        <v>43252</v>
      </c>
      <c r="F132" s="136">
        <v>13.42</v>
      </c>
      <c r="G132" s="136">
        <f>+'Exhibit No.__(JAP-LIGHT RD) '!G211</f>
        <v>13.35</v>
      </c>
      <c r="H132" s="136">
        <f t="shared" ref="H132:H139" si="41">+G132-F132</f>
        <v>-7.0000000000000284E-2</v>
      </c>
      <c r="I132" s="216"/>
      <c r="J132" s="216"/>
    </row>
    <row r="133" spans="1:10">
      <c r="A133" s="284">
        <f t="shared" si="17"/>
        <v>128</v>
      </c>
      <c r="B133" s="284" t="str">
        <f t="shared" si="38"/>
        <v>55 (56)</v>
      </c>
      <c r="C133" s="138" t="s">
        <v>479</v>
      </c>
      <c r="D133" s="139" t="s">
        <v>508</v>
      </c>
      <c r="E133" s="135">
        <f t="shared" si="39"/>
        <v>43252</v>
      </c>
      <c r="F133" s="136">
        <v>14.54</v>
      </c>
      <c r="G133" s="136">
        <f>+'Exhibit No.__(JAP-LIGHT RD) '!G212</f>
        <v>15.84</v>
      </c>
      <c r="H133" s="136">
        <f t="shared" si="41"/>
        <v>1.3000000000000007</v>
      </c>
      <c r="I133" s="216"/>
      <c r="J133" s="216"/>
    </row>
    <row r="134" spans="1:10">
      <c r="A134" s="284">
        <f t="shared" si="17"/>
        <v>129</v>
      </c>
      <c r="B134" s="284" t="str">
        <f t="shared" si="38"/>
        <v>55 (56)</v>
      </c>
      <c r="C134" s="138" t="s">
        <v>479</v>
      </c>
      <c r="D134" s="139" t="s">
        <v>480</v>
      </c>
      <c r="E134" s="135">
        <f t="shared" si="39"/>
        <v>43252</v>
      </c>
      <c r="F134" s="136">
        <v>15.66</v>
      </c>
      <c r="G134" s="136">
        <f>+'Exhibit No.__(JAP-LIGHT RD) '!G213</f>
        <v>17.22</v>
      </c>
      <c r="H134" s="136">
        <f t="shared" si="41"/>
        <v>1.5599999999999987</v>
      </c>
      <c r="I134" s="216"/>
      <c r="J134" s="216"/>
    </row>
    <row r="135" spans="1:10">
      <c r="A135" s="284">
        <f t="shared" si="17"/>
        <v>130</v>
      </c>
      <c r="B135" s="284" t="str">
        <f t="shared" si="38"/>
        <v>55 (56)</v>
      </c>
      <c r="C135" s="138" t="s">
        <v>479</v>
      </c>
      <c r="D135" s="139" t="s">
        <v>481</v>
      </c>
      <c r="E135" s="135">
        <f t="shared" si="39"/>
        <v>43252</v>
      </c>
      <c r="F135" s="136">
        <v>16.77</v>
      </c>
      <c r="G135" s="136">
        <f>+'Exhibit No.__(JAP-LIGHT RD) '!G214</f>
        <v>19.71</v>
      </c>
      <c r="H135" s="136">
        <f t="shared" si="41"/>
        <v>2.9400000000000013</v>
      </c>
      <c r="I135" s="216"/>
      <c r="J135" s="216"/>
    </row>
    <row r="136" spans="1:10">
      <c r="A136" s="284">
        <f t="shared" ref="A136:A183" si="42">+A135+1</f>
        <v>131</v>
      </c>
      <c r="B136" s="284" t="str">
        <f t="shared" si="38"/>
        <v>55 (56)</v>
      </c>
      <c r="C136" s="138" t="s">
        <v>479</v>
      </c>
      <c r="D136" s="139" t="s">
        <v>482</v>
      </c>
      <c r="E136" s="135">
        <f t="shared" si="39"/>
        <v>43252</v>
      </c>
      <c r="F136" s="136">
        <v>17.89</v>
      </c>
      <c r="G136" s="136">
        <f>+'Exhibit No.__(JAP-LIGHT RD) '!G215</f>
        <v>21.87</v>
      </c>
      <c r="H136" s="136">
        <f t="shared" si="41"/>
        <v>3.9800000000000004</v>
      </c>
      <c r="I136" s="216"/>
      <c r="J136" s="216"/>
    </row>
    <row r="137" spans="1:10">
      <c r="A137" s="284">
        <f t="shared" si="42"/>
        <v>132</v>
      </c>
      <c r="B137" s="284" t="str">
        <f t="shared" si="38"/>
        <v>55 (56)</v>
      </c>
      <c r="C137" s="138" t="s">
        <v>479</v>
      </c>
      <c r="D137" s="139" t="s">
        <v>483</v>
      </c>
      <c r="E137" s="135">
        <f t="shared" si="39"/>
        <v>43252</v>
      </c>
      <c r="F137" s="136">
        <v>19</v>
      </c>
      <c r="G137" s="136">
        <f>+'Exhibit No.__(JAP-LIGHT RD) '!G216</f>
        <v>24.03</v>
      </c>
      <c r="H137" s="136">
        <f t="shared" si="41"/>
        <v>5.0300000000000011</v>
      </c>
      <c r="I137" s="216"/>
      <c r="J137" s="216"/>
    </row>
    <row r="138" spans="1:10">
      <c r="A138" s="284">
        <f t="shared" si="42"/>
        <v>133</v>
      </c>
      <c r="B138" s="284" t="str">
        <f t="shared" si="38"/>
        <v>55 (56)</v>
      </c>
      <c r="C138" s="138" t="s">
        <v>479</v>
      </c>
      <c r="D138" s="139" t="s">
        <v>484</v>
      </c>
      <c r="E138" s="135">
        <f t="shared" si="39"/>
        <v>43252</v>
      </c>
      <c r="F138" s="136">
        <v>20.12</v>
      </c>
      <c r="G138" s="136">
        <f>+'Exhibit No.__(JAP-LIGHT RD) '!G217</f>
        <v>26.19</v>
      </c>
      <c r="H138" s="136">
        <f t="shared" si="41"/>
        <v>6.07</v>
      </c>
      <c r="I138" s="216"/>
      <c r="J138" s="216"/>
    </row>
    <row r="139" spans="1:10">
      <c r="A139" s="284">
        <f t="shared" si="42"/>
        <v>134</v>
      </c>
      <c r="B139" s="284" t="str">
        <f t="shared" si="38"/>
        <v>55 (56)</v>
      </c>
      <c r="C139" s="138" t="s">
        <v>479</v>
      </c>
      <c r="D139" s="139" t="s">
        <v>485</v>
      </c>
      <c r="E139" s="135">
        <f t="shared" si="39"/>
        <v>43252</v>
      </c>
      <c r="F139" s="136">
        <v>21.24</v>
      </c>
      <c r="G139" s="136">
        <f>+'Exhibit No.__(JAP-LIGHT RD) '!G218</f>
        <v>28.35</v>
      </c>
      <c r="H139" s="136">
        <f t="shared" si="41"/>
        <v>7.110000000000003</v>
      </c>
      <c r="I139" s="216"/>
      <c r="J139" s="216"/>
    </row>
    <row r="140" spans="1:10">
      <c r="A140" s="284">
        <f t="shared" si="42"/>
        <v>135</v>
      </c>
      <c r="B140" s="284"/>
      <c r="C140" s="155"/>
      <c r="D140" s="284"/>
      <c r="E140" s="135"/>
      <c r="F140" s="155"/>
      <c r="G140" s="136"/>
      <c r="H140" s="136"/>
      <c r="I140" s="216"/>
      <c r="J140" s="216"/>
    </row>
    <row r="141" spans="1:10">
      <c r="A141" s="284">
        <f t="shared" si="42"/>
        <v>136</v>
      </c>
      <c r="B141" s="284" t="str">
        <f>+$B$122</f>
        <v>55 (56)</v>
      </c>
      <c r="C141" s="149" t="s">
        <v>486</v>
      </c>
      <c r="D141" s="284" t="s">
        <v>487</v>
      </c>
      <c r="E141" s="135">
        <f t="shared" ref="E141:E142" si="43">+$E$6</f>
        <v>43221</v>
      </c>
      <c r="F141" s="136">
        <v>5.93</v>
      </c>
      <c r="G141" s="136">
        <f>+'Exhibit No.__(JAP-LIGHT RD) '!G220</f>
        <v>6.58</v>
      </c>
      <c r="H141" s="136">
        <f t="shared" ref="H141:H142" si="44">+G141-F141</f>
        <v>0.65000000000000036</v>
      </c>
      <c r="I141" s="216"/>
      <c r="J141" s="216"/>
    </row>
    <row r="142" spans="1:10">
      <c r="A142" s="284">
        <f t="shared" si="42"/>
        <v>137</v>
      </c>
      <c r="B142" s="284" t="str">
        <f>+$B$122</f>
        <v>55 (56)</v>
      </c>
      <c r="C142" s="149" t="s">
        <v>486</v>
      </c>
      <c r="D142" s="284" t="s">
        <v>488</v>
      </c>
      <c r="E142" s="135">
        <f t="shared" si="43"/>
        <v>43221</v>
      </c>
      <c r="F142" s="136">
        <v>9.75</v>
      </c>
      <c r="G142" s="136">
        <f>+'Exhibit No.__(JAP-LIGHT RD) '!G221</f>
        <v>11.49</v>
      </c>
      <c r="H142" s="136">
        <f t="shared" si="44"/>
        <v>1.7400000000000002</v>
      </c>
      <c r="I142" s="216"/>
      <c r="J142" s="216"/>
    </row>
    <row r="143" spans="1:10">
      <c r="A143" s="284">
        <f t="shared" si="42"/>
        <v>138</v>
      </c>
      <c r="B143" s="284"/>
      <c r="C143" s="155"/>
      <c r="D143" s="284"/>
      <c r="E143" s="155"/>
      <c r="F143" s="155"/>
      <c r="G143" s="136"/>
      <c r="H143" s="136"/>
      <c r="I143" s="216"/>
      <c r="J143" s="216"/>
    </row>
    <row r="144" spans="1:10">
      <c r="A144" s="284">
        <f t="shared" si="42"/>
        <v>139</v>
      </c>
      <c r="B144" s="284">
        <v>57</v>
      </c>
      <c r="C144" s="155" t="s">
        <v>489</v>
      </c>
      <c r="D144" s="139" t="s">
        <v>490</v>
      </c>
      <c r="E144" s="135">
        <f>+$E$6</f>
        <v>43221</v>
      </c>
      <c r="F144" s="141">
        <v>3.9269999999999999E-2</v>
      </c>
      <c r="G144" s="141">
        <f>+'Exhibit No.__(JAP-LIGHT RD) '!G234</f>
        <v>4.7879999999999999E-2</v>
      </c>
      <c r="H144" s="141">
        <f t="shared" ref="H144:H183" si="45">+G144-F144</f>
        <v>8.6099999999999996E-3</v>
      </c>
      <c r="I144" s="216"/>
      <c r="J144" s="216"/>
    </row>
    <row r="145" spans="1:10">
      <c r="A145" s="284">
        <f t="shared" si="42"/>
        <v>140</v>
      </c>
      <c r="B145" s="284"/>
      <c r="C145" s="155"/>
      <c r="D145" s="284"/>
      <c r="E145" s="155"/>
      <c r="F145" s="155"/>
      <c r="G145" s="136"/>
      <c r="H145" s="136"/>
      <c r="I145" s="216"/>
      <c r="J145" s="216"/>
    </row>
    <row r="146" spans="1:10">
      <c r="A146" s="284">
        <f t="shared" si="42"/>
        <v>141</v>
      </c>
      <c r="B146" s="284" t="s">
        <v>491</v>
      </c>
      <c r="C146" s="155" t="s">
        <v>492</v>
      </c>
      <c r="D146" s="284" t="s">
        <v>461</v>
      </c>
      <c r="E146" s="135">
        <f t="shared" ref="E146:E181" si="46">+$E$49</f>
        <v>43252</v>
      </c>
      <c r="F146" s="136">
        <v>11.53</v>
      </c>
      <c r="G146" s="136">
        <f>+'Exhibit No.__(JAP-LIGHT RD) '!G247</f>
        <v>14.25</v>
      </c>
      <c r="H146" s="136">
        <f t="shared" si="45"/>
        <v>2.7200000000000006</v>
      </c>
      <c r="I146" s="216"/>
      <c r="J146" s="216"/>
    </row>
    <row r="147" spans="1:10">
      <c r="A147" s="284">
        <f t="shared" si="42"/>
        <v>142</v>
      </c>
      <c r="B147" s="284" t="str">
        <f>+$B$146</f>
        <v>58 (59)</v>
      </c>
      <c r="C147" s="155" t="s">
        <v>492</v>
      </c>
      <c r="D147" s="284" t="s">
        <v>450</v>
      </c>
      <c r="E147" s="135">
        <f t="shared" si="46"/>
        <v>43252</v>
      </c>
      <c r="F147" s="136">
        <v>12.72</v>
      </c>
      <c r="G147" s="136">
        <f>+'Exhibit No.__(JAP-LIGHT RD) '!G248</f>
        <v>14.69</v>
      </c>
      <c r="H147" s="136">
        <f t="shared" si="45"/>
        <v>1.9699999999999989</v>
      </c>
      <c r="J147" s="216"/>
    </row>
    <row r="148" spans="1:10">
      <c r="A148" s="284">
        <f t="shared" si="42"/>
        <v>143</v>
      </c>
      <c r="B148" s="284" t="str">
        <f>+$B$146</f>
        <v>58 (59)</v>
      </c>
      <c r="C148" s="155" t="s">
        <v>492</v>
      </c>
      <c r="D148" s="284" t="s">
        <v>462</v>
      </c>
      <c r="E148" s="135">
        <f t="shared" si="46"/>
        <v>43252</v>
      </c>
      <c r="F148" s="136">
        <v>14.71</v>
      </c>
      <c r="G148" s="136">
        <f>+'Exhibit No.__(JAP-LIGHT RD) '!G249</f>
        <v>16.420000000000002</v>
      </c>
      <c r="H148" s="136">
        <f t="shared" si="45"/>
        <v>1.7100000000000009</v>
      </c>
      <c r="J148" s="216"/>
    </row>
    <row r="149" spans="1:10">
      <c r="A149" s="284">
        <f t="shared" si="42"/>
        <v>144</v>
      </c>
      <c r="B149" s="284" t="str">
        <f>+$B$146</f>
        <v>58 (59)</v>
      </c>
      <c r="C149" s="155" t="s">
        <v>492</v>
      </c>
      <c r="D149" s="284" t="s">
        <v>463</v>
      </c>
      <c r="E149" s="135">
        <f t="shared" si="46"/>
        <v>43252</v>
      </c>
      <c r="F149" s="136">
        <v>16.690000000000001</v>
      </c>
      <c r="G149" s="136">
        <f>+'Exhibit No.__(JAP-LIGHT RD) '!G250</f>
        <v>18.670000000000002</v>
      </c>
      <c r="H149" s="136">
        <f t="shared" si="45"/>
        <v>1.9800000000000004</v>
      </c>
      <c r="J149" s="216"/>
    </row>
    <row r="150" spans="1:10">
      <c r="A150" s="284">
        <f t="shared" si="42"/>
        <v>145</v>
      </c>
      <c r="B150" s="284" t="str">
        <f>+$B$146</f>
        <v>58 (59)</v>
      </c>
      <c r="C150" s="155" t="s">
        <v>492</v>
      </c>
      <c r="D150" s="284" t="s">
        <v>464</v>
      </c>
      <c r="E150" s="135">
        <f t="shared" si="46"/>
        <v>43252</v>
      </c>
      <c r="F150" s="136">
        <v>18.68</v>
      </c>
      <c r="G150" s="136">
        <f>+'Exhibit No.__(JAP-LIGHT RD) '!G251</f>
        <v>20.55</v>
      </c>
      <c r="H150" s="136">
        <f t="shared" si="45"/>
        <v>1.870000000000001</v>
      </c>
      <c r="J150" s="216"/>
    </row>
    <row r="151" spans="1:10">
      <c r="A151" s="284">
        <f t="shared" si="42"/>
        <v>146</v>
      </c>
      <c r="B151" s="284" t="str">
        <f>+$B$146</f>
        <v>58 (59)</v>
      </c>
      <c r="C151" s="155" t="s">
        <v>492</v>
      </c>
      <c r="D151" s="284" t="s">
        <v>452</v>
      </c>
      <c r="E151" s="135">
        <f t="shared" si="46"/>
        <v>43252</v>
      </c>
      <c r="F151" s="136">
        <v>24.63</v>
      </c>
      <c r="G151" s="136">
        <f>+'Exhibit No.__(JAP-LIGHT RD) '!G252</f>
        <v>26.85</v>
      </c>
      <c r="H151" s="136">
        <f t="shared" si="45"/>
        <v>2.2200000000000024</v>
      </c>
      <c r="J151" s="216"/>
    </row>
    <row r="152" spans="1:10">
      <c r="A152" s="284">
        <f t="shared" si="42"/>
        <v>147</v>
      </c>
      <c r="B152" s="284"/>
      <c r="C152" s="155"/>
      <c r="D152" s="284"/>
      <c r="E152" s="135"/>
      <c r="F152" s="136"/>
      <c r="G152" s="136"/>
      <c r="H152" s="136"/>
      <c r="J152" s="216"/>
    </row>
    <row r="153" spans="1:10">
      <c r="A153" s="284">
        <f t="shared" si="42"/>
        <v>148</v>
      </c>
      <c r="B153" s="284" t="str">
        <f>+$B$146</f>
        <v>58 (59)</v>
      </c>
      <c r="C153" s="155" t="s">
        <v>493</v>
      </c>
      <c r="D153" s="284" t="s">
        <v>451</v>
      </c>
      <c r="E153" s="135">
        <f t="shared" si="46"/>
        <v>43252</v>
      </c>
      <c r="F153" s="136">
        <v>18.64</v>
      </c>
      <c r="G153" s="136">
        <f>+'Exhibit No.__(JAP-LIGHT RD) '!G254</f>
        <v>18.84</v>
      </c>
      <c r="H153" s="136">
        <f t="shared" si="45"/>
        <v>0.19999999999999929</v>
      </c>
      <c r="J153" s="216"/>
    </row>
    <row r="154" spans="1:10">
      <c r="A154" s="284">
        <f t="shared" si="42"/>
        <v>149</v>
      </c>
      <c r="B154" s="284" t="str">
        <f>+$B$146</f>
        <v>58 (59)</v>
      </c>
      <c r="C154" s="155" t="s">
        <v>493</v>
      </c>
      <c r="D154" s="284" t="s">
        <v>464</v>
      </c>
      <c r="E154" s="135">
        <f t="shared" si="46"/>
        <v>43252</v>
      </c>
      <c r="F154" s="136">
        <v>21.8</v>
      </c>
      <c r="G154" s="136">
        <f>+'Exhibit No.__(JAP-LIGHT RD) '!G255</f>
        <v>22.11</v>
      </c>
      <c r="H154" s="136">
        <f t="shared" si="45"/>
        <v>0.30999999999999872</v>
      </c>
      <c r="J154" s="216"/>
    </row>
    <row r="155" spans="1:10">
      <c r="A155" s="284">
        <f t="shared" si="42"/>
        <v>150</v>
      </c>
      <c r="B155" s="284" t="str">
        <f>+$B$146</f>
        <v>58 (59)</v>
      </c>
      <c r="C155" s="155" t="s">
        <v>493</v>
      </c>
      <c r="D155" s="284" t="s">
        <v>452</v>
      </c>
      <c r="E155" s="135">
        <f t="shared" si="46"/>
        <v>43252</v>
      </c>
      <c r="F155" s="136">
        <v>28.12</v>
      </c>
      <c r="G155" s="136">
        <f>+'Exhibit No.__(JAP-LIGHT RD) '!G256</f>
        <v>27.27</v>
      </c>
      <c r="H155" s="136">
        <f t="shared" si="45"/>
        <v>-0.85000000000000142</v>
      </c>
      <c r="J155" s="216"/>
    </row>
    <row r="156" spans="1:10">
      <c r="A156" s="284">
        <f t="shared" si="42"/>
        <v>151</v>
      </c>
      <c r="B156" s="284" t="str">
        <f>+$B$146</f>
        <v>58 (59)</v>
      </c>
      <c r="C156" s="155" t="s">
        <v>493</v>
      </c>
      <c r="D156" s="284" t="s">
        <v>467</v>
      </c>
      <c r="E156" s="135">
        <f t="shared" si="46"/>
        <v>43252</v>
      </c>
      <c r="F156" s="136">
        <v>53.4</v>
      </c>
      <c r="G156" s="136">
        <f>+'Exhibit No.__(JAP-LIGHT RD) '!G257</f>
        <v>51.32</v>
      </c>
      <c r="H156" s="136">
        <f t="shared" si="45"/>
        <v>-2.0799999999999983</v>
      </c>
      <c r="J156" s="216"/>
    </row>
    <row r="157" spans="1:10">
      <c r="A157" s="284">
        <f t="shared" si="42"/>
        <v>152</v>
      </c>
      <c r="B157" s="284"/>
      <c r="C157" s="155"/>
      <c r="D157" s="284"/>
      <c r="E157" s="135"/>
      <c r="F157" s="136"/>
      <c r="G157" s="136"/>
      <c r="H157" s="136"/>
      <c r="J157" s="216"/>
    </row>
    <row r="158" spans="1:10">
      <c r="A158" s="284">
        <f t="shared" si="42"/>
        <v>153</v>
      </c>
      <c r="B158" s="284" t="str">
        <f>+$B$146</f>
        <v>58 (59)</v>
      </c>
      <c r="C158" s="155" t="s">
        <v>494</v>
      </c>
      <c r="D158" s="284" t="s">
        <v>450</v>
      </c>
      <c r="E158" s="135">
        <f t="shared" si="46"/>
        <v>43252</v>
      </c>
      <c r="F158" s="136">
        <v>12.72</v>
      </c>
      <c r="G158" s="136">
        <f>+'Exhibit No.__(JAP-LIGHT RD) '!G259</f>
        <v>14.69</v>
      </c>
      <c r="H158" s="136">
        <f t="shared" si="45"/>
        <v>1.9699999999999989</v>
      </c>
      <c r="J158" s="216"/>
    </row>
    <row r="159" spans="1:10">
      <c r="A159" s="284">
        <f t="shared" si="42"/>
        <v>154</v>
      </c>
      <c r="B159" s="284" t="str">
        <f>+$B$146</f>
        <v>58 (59)</v>
      </c>
      <c r="C159" s="155" t="s">
        <v>494</v>
      </c>
      <c r="D159" s="284" t="s">
        <v>462</v>
      </c>
      <c r="E159" s="135">
        <f t="shared" si="46"/>
        <v>43252</v>
      </c>
      <c r="F159" s="136">
        <v>14.71</v>
      </c>
      <c r="G159" s="136">
        <f>+'Exhibit No.__(JAP-LIGHT RD) '!G260</f>
        <v>16.420000000000002</v>
      </c>
      <c r="H159" s="136">
        <f t="shared" si="45"/>
        <v>1.7100000000000009</v>
      </c>
      <c r="J159" s="216"/>
    </row>
    <row r="160" spans="1:10">
      <c r="A160" s="284">
        <f t="shared" si="42"/>
        <v>155</v>
      </c>
      <c r="B160" s="284" t="str">
        <f>+$B$146</f>
        <v>58 (59)</v>
      </c>
      <c r="C160" s="155" t="s">
        <v>494</v>
      </c>
      <c r="D160" s="284" t="s">
        <v>463</v>
      </c>
      <c r="E160" s="135">
        <f t="shared" si="46"/>
        <v>43252</v>
      </c>
      <c r="F160" s="136">
        <v>16.690000000000001</v>
      </c>
      <c r="G160" s="136">
        <f>+'Exhibit No.__(JAP-LIGHT RD) '!G261</f>
        <v>18.670000000000002</v>
      </c>
      <c r="H160" s="136">
        <f t="shared" si="45"/>
        <v>1.9800000000000004</v>
      </c>
      <c r="J160" s="216"/>
    </row>
    <row r="161" spans="1:10">
      <c r="A161" s="284">
        <f t="shared" si="42"/>
        <v>156</v>
      </c>
      <c r="B161" s="284" t="str">
        <f>+$B$146</f>
        <v>58 (59)</v>
      </c>
      <c r="C161" s="155" t="s">
        <v>494</v>
      </c>
      <c r="D161" s="284" t="s">
        <v>464</v>
      </c>
      <c r="E161" s="135">
        <f t="shared" si="46"/>
        <v>43252</v>
      </c>
      <c r="F161" s="136">
        <v>18.68</v>
      </c>
      <c r="G161" s="136">
        <f>+'Exhibit No.__(JAP-LIGHT RD) '!G262</f>
        <v>20.55</v>
      </c>
      <c r="H161" s="136">
        <f t="shared" si="45"/>
        <v>1.870000000000001</v>
      </c>
      <c r="J161" s="216"/>
    </row>
    <row r="162" spans="1:10">
      <c r="A162" s="284">
        <f t="shared" si="42"/>
        <v>157</v>
      </c>
      <c r="B162" s="284" t="str">
        <f>+$B$146</f>
        <v>58 (59)</v>
      </c>
      <c r="C162" s="155" t="s">
        <v>494</v>
      </c>
      <c r="D162" s="284" t="s">
        <v>452</v>
      </c>
      <c r="E162" s="135">
        <f t="shared" si="46"/>
        <v>43252</v>
      </c>
      <c r="F162" s="136">
        <v>24.63</v>
      </c>
      <c r="G162" s="136">
        <f>+'Exhibit No.__(JAP-LIGHT RD) '!G263</f>
        <v>26.85</v>
      </c>
      <c r="H162" s="136">
        <f t="shared" si="45"/>
        <v>2.2200000000000024</v>
      </c>
      <c r="J162" s="216"/>
    </row>
    <row r="163" spans="1:10">
      <c r="A163" s="284">
        <f t="shared" si="42"/>
        <v>158</v>
      </c>
      <c r="B163" s="284"/>
      <c r="C163" s="155"/>
      <c r="D163" s="284"/>
      <c r="E163" s="135"/>
      <c r="F163" s="136"/>
      <c r="G163" s="136"/>
      <c r="H163" s="136"/>
      <c r="J163" s="216"/>
    </row>
    <row r="164" spans="1:10">
      <c r="A164" s="284">
        <f t="shared" si="42"/>
        <v>159</v>
      </c>
      <c r="B164" s="284" t="str">
        <f>+$B$146</f>
        <v>58 (59)</v>
      </c>
      <c r="C164" s="155" t="s">
        <v>495</v>
      </c>
      <c r="D164" s="284" t="s">
        <v>464</v>
      </c>
      <c r="E164" s="135">
        <f t="shared" si="46"/>
        <v>43252</v>
      </c>
      <c r="F164" s="136">
        <v>21.8</v>
      </c>
      <c r="G164" s="136">
        <f>+'Exhibit No.__(JAP-LIGHT RD) '!G265</f>
        <v>22.11</v>
      </c>
      <c r="H164" s="136">
        <f t="shared" si="45"/>
        <v>0.30999999999999872</v>
      </c>
      <c r="J164" s="216"/>
    </row>
    <row r="165" spans="1:10">
      <c r="A165" s="284">
        <f t="shared" si="42"/>
        <v>160</v>
      </c>
      <c r="B165" s="284" t="str">
        <f>+$B$146</f>
        <v>58 (59)</v>
      </c>
      <c r="C165" s="155" t="s">
        <v>495</v>
      </c>
      <c r="D165" s="284" t="s">
        <v>452</v>
      </c>
      <c r="E165" s="135">
        <f t="shared" si="46"/>
        <v>43252</v>
      </c>
      <c r="F165" s="136">
        <v>28.12</v>
      </c>
      <c r="G165" s="136">
        <f>+'Exhibit No.__(JAP-LIGHT RD) '!G266</f>
        <v>27.27</v>
      </c>
      <c r="H165" s="136">
        <f t="shared" si="45"/>
        <v>-0.85000000000000142</v>
      </c>
      <c r="J165" s="216"/>
    </row>
    <row r="166" spans="1:10">
      <c r="A166" s="284">
        <f t="shared" si="42"/>
        <v>161</v>
      </c>
      <c r="B166" s="284"/>
      <c r="C166" s="155"/>
      <c r="D166" s="284"/>
      <c r="E166" s="135"/>
      <c r="F166" s="136"/>
      <c r="G166" s="136"/>
      <c r="H166" s="136"/>
      <c r="J166" s="216"/>
    </row>
    <row r="167" spans="1:10">
      <c r="A167" s="284">
        <f t="shared" si="42"/>
        <v>162</v>
      </c>
      <c r="B167" s="284" t="str">
        <f t="shared" ref="B167:B181" si="47">+$B$146</f>
        <v>58 (59)</v>
      </c>
      <c r="C167" s="138" t="s">
        <v>496</v>
      </c>
      <c r="D167" s="139" t="s">
        <v>506</v>
      </c>
      <c r="E167" s="135">
        <f t="shared" si="46"/>
        <v>43252</v>
      </c>
      <c r="F167" s="136">
        <v>12.31</v>
      </c>
      <c r="G167" s="136">
        <f>+'Exhibit No.__(JAP-LIGHT RD) '!G268</f>
        <v>12.75</v>
      </c>
      <c r="H167" s="136">
        <f t="shared" si="45"/>
        <v>0.4399999999999995</v>
      </c>
      <c r="J167" s="216"/>
    </row>
    <row r="168" spans="1:10">
      <c r="A168" s="284">
        <f t="shared" si="42"/>
        <v>163</v>
      </c>
      <c r="B168" s="284" t="str">
        <f t="shared" si="47"/>
        <v>58 (59)</v>
      </c>
      <c r="C168" s="138" t="s">
        <v>496</v>
      </c>
      <c r="D168" s="139" t="s">
        <v>507</v>
      </c>
      <c r="E168" s="135">
        <f t="shared" si="46"/>
        <v>43252</v>
      </c>
      <c r="F168" s="136">
        <v>13.42</v>
      </c>
      <c r="G168" s="136">
        <f>+'Exhibit No.__(JAP-LIGHT RD) '!G269</f>
        <v>14.72</v>
      </c>
      <c r="H168" s="136">
        <f t="shared" ref="H168:H181" si="48">+G168-F168</f>
        <v>1.3000000000000007</v>
      </c>
      <c r="J168" s="216"/>
    </row>
    <row r="169" spans="1:10">
      <c r="A169" s="284">
        <f t="shared" si="42"/>
        <v>164</v>
      </c>
      <c r="B169" s="284" t="str">
        <f t="shared" si="47"/>
        <v>58 (59)</v>
      </c>
      <c r="C169" s="138" t="s">
        <v>496</v>
      </c>
      <c r="D169" s="139" t="s">
        <v>508</v>
      </c>
      <c r="E169" s="135">
        <f t="shared" si="46"/>
        <v>43252</v>
      </c>
      <c r="F169" s="136">
        <v>14.54</v>
      </c>
      <c r="G169" s="136">
        <f>+'Exhibit No.__(JAP-LIGHT RD) '!G270</f>
        <v>16.690000000000001</v>
      </c>
      <c r="H169" s="136">
        <f t="shared" si="48"/>
        <v>2.1500000000000021</v>
      </c>
      <c r="J169" s="216"/>
    </row>
    <row r="170" spans="1:10">
      <c r="A170" s="284">
        <f t="shared" si="42"/>
        <v>165</v>
      </c>
      <c r="B170" s="284" t="str">
        <f t="shared" si="47"/>
        <v>58 (59)</v>
      </c>
      <c r="C170" s="138" t="s">
        <v>496</v>
      </c>
      <c r="D170" s="139" t="s">
        <v>480</v>
      </c>
      <c r="E170" s="135">
        <f t="shared" si="46"/>
        <v>43252</v>
      </c>
      <c r="F170" s="136">
        <v>15.66</v>
      </c>
      <c r="G170" s="136">
        <f>+'Exhibit No.__(JAP-LIGHT RD) '!G271</f>
        <v>18.66</v>
      </c>
      <c r="H170" s="136">
        <f t="shared" si="48"/>
        <v>3</v>
      </c>
      <c r="J170" s="216"/>
    </row>
    <row r="171" spans="1:10">
      <c r="A171" s="284">
        <f t="shared" si="42"/>
        <v>166</v>
      </c>
      <c r="B171" s="284" t="str">
        <f t="shared" si="47"/>
        <v>58 (59)</v>
      </c>
      <c r="C171" s="138" t="s">
        <v>496</v>
      </c>
      <c r="D171" s="139" t="s">
        <v>481</v>
      </c>
      <c r="E171" s="135">
        <f t="shared" si="46"/>
        <v>43252</v>
      </c>
      <c r="F171" s="136">
        <v>16.77</v>
      </c>
      <c r="G171" s="136">
        <f>+'Exhibit No.__(JAP-LIGHT RD) '!G272</f>
        <v>20.63</v>
      </c>
      <c r="H171" s="136">
        <f t="shared" si="48"/>
        <v>3.8599999999999994</v>
      </c>
      <c r="J171" s="216"/>
    </row>
    <row r="172" spans="1:10">
      <c r="A172" s="284">
        <f t="shared" si="42"/>
        <v>167</v>
      </c>
      <c r="B172" s="284" t="str">
        <f t="shared" si="47"/>
        <v>58 (59)</v>
      </c>
      <c r="C172" s="138" t="s">
        <v>496</v>
      </c>
      <c r="D172" s="139" t="s">
        <v>482</v>
      </c>
      <c r="E172" s="135">
        <f t="shared" si="46"/>
        <v>43252</v>
      </c>
      <c r="F172" s="136">
        <v>17.89</v>
      </c>
      <c r="G172" s="136">
        <f>+'Exhibit No.__(JAP-LIGHT RD) '!G273</f>
        <v>22.6</v>
      </c>
      <c r="H172" s="136">
        <f t="shared" si="48"/>
        <v>4.7100000000000009</v>
      </c>
      <c r="J172" s="216"/>
    </row>
    <row r="173" spans="1:10">
      <c r="A173" s="284">
        <f t="shared" si="42"/>
        <v>168</v>
      </c>
      <c r="B173" s="284" t="str">
        <f t="shared" si="47"/>
        <v>58 (59)</v>
      </c>
      <c r="C173" s="138" t="s">
        <v>496</v>
      </c>
      <c r="D173" s="139" t="s">
        <v>483</v>
      </c>
      <c r="E173" s="135">
        <f t="shared" si="46"/>
        <v>43252</v>
      </c>
      <c r="F173" s="136">
        <v>19</v>
      </c>
      <c r="G173" s="136">
        <f>+'Exhibit No.__(JAP-LIGHT RD) '!G274</f>
        <v>24.57</v>
      </c>
      <c r="H173" s="136">
        <f t="shared" si="48"/>
        <v>5.57</v>
      </c>
      <c r="J173" s="216"/>
    </row>
    <row r="174" spans="1:10">
      <c r="A174" s="284">
        <f t="shared" si="42"/>
        <v>169</v>
      </c>
      <c r="B174" s="284" t="str">
        <f t="shared" si="47"/>
        <v>58 (59)</v>
      </c>
      <c r="C174" s="138" t="s">
        <v>496</v>
      </c>
      <c r="D174" s="139" t="s">
        <v>484</v>
      </c>
      <c r="E174" s="135">
        <f t="shared" si="46"/>
        <v>43252</v>
      </c>
      <c r="F174" s="136">
        <v>20.12</v>
      </c>
      <c r="G174" s="136">
        <f>+'Exhibit No.__(JAP-LIGHT RD) '!G275</f>
        <v>26.53</v>
      </c>
      <c r="H174" s="136">
        <f t="shared" si="48"/>
        <v>6.41</v>
      </c>
      <c r="J174" s="216"/>
    </row>
    <row r="175" spans="1:10">
      <c r="A175" s="284">
        <f t="shared" si="42"/>
        <v>170</v>
      </c>
      <c r="B175" s="284" t="str">
        <f t="shared" si="47"/>
        <v>58 (59)</v>
      </c>
      <c r="C175" s="138" t="s">
        <v>496</v>
      </c>
      <c r="D175" s="139" t="s">
        <v>485</v>
      </c>
      <c r="E175" s="135">
        <f t="shared" si="46"/>
        <v>43252</v>
      </c>
      <c r="F175" s="136">
        <v>21.24</v>
      </c>
      <c r="G175" s="136">
        <f>+'Exhibit No.__(JAP-LIGHT RD) '!G276</f>
        <v>28.5</v>
      </c>
      <c r="H175" s="136">
        <f t="shared" si="48"/>
        <v>7.2600000000000016</v>
      </c>
      <c r="J175" s="216"/>
    </row>
    <row r="176" spans="1:10">
      <c r="A176" s="284">
        <f t="shared" si="42"/>
        <v>171</v>
      </c>
      <c r="B176" s="284" t="str">
        <f t="shared" si="47"/>
        <v>58 (59)</v>
      </c>
      <c r="C176" s="138" t="s">
        <v>496</v>
      </c>
      <c r="D176" s="139" t="s">
        <v>509</v>
      </c>
      <c r="E176" s="135">
        <f t="shared" si="46"/>
        <v>43252</v>
      </c>
      <c r="F176" s="136">
        <v>23.66</v>
      </c>
      <c r="G176" s="136">
        <f>+'Exhibit No.__(JAP-LIGHT RD) '!G277</f>
        <v>32.770000000000003</v>
      </c>
      <c r="H176" s="136">
        <f t="shared" si="48"/>
        <v>9.110000000000003</v>
      </c>
      <c r="J176" s="216"/>
    </row>
    <row r="177" spans="1:10">
      <c r="A177" s="284">
        <f t="shared" si="42"/>
        <v>172</v>
      </c>
      <c r="B177" s="284" t="str">
        <f t="shared" si="47"/>
        <v>58 (59)</v>
      </c>
      <c r="C177" s="138" t="s">
        <v>496</v>
      </c>
      <c r="D177" s="139" t="s">
        <v>497</v>
      </c>
      <c r="E177" s="135">
        <f t="shared" si="46"/>
        <v>43252</v>
      </c>
      <c r="F177" s="136">
        <v>27.38</v>
      </c>
      <c r="G177" s="136">
        <f>+'Exhibit No.__(JAP-LIGHT RD) '!G278</f>
        <v>39.340000000000003</v>
      </c>
      <c r="H177" s="136">
        <f t="shared" si="48"/>
        <v>11.960000000000004</v>
      </c>
      <c r="J177" s="216"/>
    </row>
    <row r="178" spans="1:10">
      <c r="A178" s="284">
        <f t="shared" si="42"/>
        <v>173</v>
      </c>
      <c r="B178" s="284" t="str">
        <f t="shared" si="47"/>
        <v>58 (59)</v>
      </c>
      <c r="C178" s="138" t="s">
        <v>496</v>
      </c>
      <c r="D178" s="139" t="s">
        <v>510</v>
      </c>
      <c r="E178" s="135">
        <f t="shared" si="46"/>
        <v>43252</v>
      </c>
      <c r="F178" s="136">
        <v>31.1</v>
      </c>
      <c r="G178" s="136">
        <f>+'Exhibit No.__(JAP-LIGHT RD) '!G279</f>
        <v>45.9</v>
      </c>
      <c r="H178" s="136">
        <f t="shared" si="48"/>
        <v>14.799999999999997</v>
      </c>
      <c r="J178" s="216"/>
    </row>
    <row r="179" spans="1:10">
      <c r="A179" s="284">
        <f t="shared" si="42"/>
        <v>174</v>
      </c>
      <c r="B179" s="284" t="str">
        <f t="shared" si="47"/>
        <v>58 (59)</v>
      </c>
      <c r="C179" s="138" t="s">
        <v>496</v>
      </c>
      <c r="D179" s="139" t="s">
        <v>498</v>
      </c>
      <c r="E179" s="135">
        <f t="shared" si="46"/>
        <v>43252</v>
      </c>
      <c r="F179" s="136">
        <v>34.82</v>
      </c>
      <c r="G179" s="136">
        <f>+'Exhibit No.__(JAP-LIGHT RD) '!G280</f>
        <v>52.47</v>
      </c>
      <c r="H179" s="136">
        <f t="shared" si="48"/>
        <v>17.649999999999999</v>
      </c>
      <c r="J179" s="216"/>
    </row>
    <row r="180" spans="1:10">
      <c r="A180" s="284">
        <f t="shared" si="42"/>
        <v>175</v>
      </c>
      <c r="B180" s="284" t="str">
        <f t="shared" si="47"/>
        <v>58 (59)</v>
      </c>
      <c r="C180" s="138" t="s">
        <v>496</v>
      </c>
      <c r="D180" s="139" t="s">
        <v>499</v>
      </c>
      <c r="E180" s="135">
        <f t="shared" si="46"/>
        <v>43252</v>
      </c>
      <c r="F180" s="136">
        <v>38.54</v>
      </c>
      <c r="G180" s="136">
        <f>+'Exhibit No.__(JAP-LIGHT RD) '!G281</f>
        <v>59.03</v>
      </c>
      <c r="H180" s="136">
        <f t="shared" si="48"/>
        <v>20.490000000000002</v>
      </c>
      <c r="J180" s="216"/>
    </row>
    <row r="181" spans="1:10">
      <c r="A181" s="284">
        <f t="shared" si="42"/>
        <v>176</v>
      </c>
      <c r="B181" s="284" t="str">
        <f t="shared" si="47"/>
        <v>58 (59)</v>
      </c>
      <c r="C181" s="138" t="s">
        <v>496</v>
      </c>
      <c r="D181" s="139" t="s">
        <v>511</v>
      </c>
      <c r="E181" s="135">
        <f t="shared" si="46"/>
        <v>43252</v>
      </c>
      <c r="F181" s="136">
        <v>42.26</v>
      </c>
      <c r="G181" s="136">
        <f>+'Exhibit No.__(JAP-LIGHT RD) '!G282</f>
        <v>65.59</v>
      </c>
      <c r="H181" s="136">
        <f t="shared" si="48"/>
        <v>23.330000000000005</v>
      </c>
      <c r="J181" s="216"/>
    </row>
    <row r="182" spans="1:10">
      <c r="A182" s="284">
        <f t="shared" si="42"/>
        <v>177</v>
      </c>
      <c r="B182" s="284"/>
      <c r="C182" s="155"/>
      <c r="D182" s="284"/>
      <c r="E182" s="135"/>
      <c r="F182" s="155"/>
      <c r="G182" s="136"/>
      <c r="H182" s="136"/>
      <c r="J182" s="216"/>
    </row>
    <row r="183" spans="1:10">
      <c r="A183" s="284">
        <f t="shared" si="42"/>
        <v>178</v>
      </c>
      <c r="B183" s="284" t="str">
        <f>+$B$146</f>
        <v>58 (59)</v>
      </c>
      <c r="C183" s="155" t="s">
        <v>500</v>
      </c>
      <c r="D183" s="284" t="s">
        <v>488</v>
      </c>
      <c r="E183" s="135">
        <f>+$E$6</f>
        <v>43221</v>
      </c>
      <c r="F183" s="136">
        <v>9.75</v>
      </c>
      <c r="G183" s="136">
        <f>+'Exhibit No.__(JAP-LIGHT RD) '!G284</f>
        <v>11.49</v>
      </c>
      <c r="H183" s="136">
        <f t="shared" si="45"/>
        <v>1.7400000000000002</v>
      </c>
      <c r="J183" s="216"/>
    </row>
    <row r="184" spans="1:10">
      <c r="J184" s="216"/>
    </row>
    <row r="185" spans="1:10">
      <c r="J185" s="216"/>
    </row>
    <row r="186" spans="1:10">
      <c r="J186" s="216"/>
    </row>
    <row r="187" spans="1:10">
      <c r="J187" s="216"/>
    </row>
    <row r="188" spans="1:10">
      <c r="J188" s="216"/>
    </row>
    <row r="189" spans="1:10">
      <c r="J189" s="216"/>
    </row>
    <row r="190" spans="1:10">
      <c r="J190" s="216"/>
    </row>
    <row r="191" spans="1:10">
      <c r="J191" s="216"/>
    </row>
    <row r="192" spans="1:10">
      <c r="J192" s="216"/>
    </row>
    <row r="193" spans="10:10">
      <c r="J193" s="216"/>
    </row>
    <row r="194" spans="10:10">
      <c r="J194" s="216"/>
    </row>
    <row r="195" spans="10:10">
      <c r="J195" s="216"/>
    </row>
    <row r="196" spans="10:10">
      <c r="J196" s="216"/>
    </row>
    <row r="197" spans="10:10">
      <c r="J197" s="216"/>
    </row>
    <row r="198" spans="10:10">
      <c r="J198" s="216"/>
    </row>
    <row r="199" spans="10:10">
      <c r="J199" s="216"/>
    </row>
    <row r="200" spans="10:10">
      <c r="J200" s="216"/>
    </row>
    <row r="201" spans="10:10">
      <c r="J201" s="216"/>
    </row>
    <row r="202" spans="10:10">
      <c r="J202" s="216"/>
    </row>
    <row r="203" spans="10:10">
      <c r="J203" s="216"/>
    </row>
    <row r="204" spans="10:10">
      <c r="J204" s="216"/>
    </row>
    <row r="205" spans="10:10">
      <c r="J205" s="216"/>
    </row>
    <row r="206" spans="10:10">
      <c r="J206" s="216"/>
    </row>
    <row r="207" spans="10:10">
      <c r="J207" s="216"/>
    </row>
    <row r="208" spans="10:10">
      <c r="J208" s="216"/>
    </row>
    <row r="209" spans="10:10">
      <c r="J209" s="216"/>
    </row>
    <row r="210" spans="10:10">
      <c r="J210" s="216"/>
    </row>
    <row r="211" spans="10:10">
      <c r="J211" s="216"/>
    </row>
    <row r="212" spans="10:10">
      <c r="J212" s="216"/>
    </row>
    <row r="213" spans="10:10">
      <c r="J213" s="216"/>
    </row>
    <row r="214" spans="10:10">
      <c r="J214" s="216"/>
    </row>
    <row r="215" spans="10:10">
      <c r="J215" s="216"/>
    </row>
    <row r="216" spans="10:10">
      <c r="J216" s="216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workbookViewId="0"/>
  </sheetViews>
  <sheetFormatPr defaultColWidth="8.75" defaultRowHeight="15.75"/>
  <cols>
    <col min="1" max="16384" width="8.75" style="178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50"/>
  <sheetViews>
    <sheetView zoomScale="90" zoomScaleNormal="90" workbookViewId="0">
      <selection activeCell="A39" sqref="A39:F46"/>
    </sheetView>
  </sheetViews>
  <sheetFormatPr defaultColWidth="8.75" defaultRowHeight="12"/>
  <cols>
    <col min="1" max="1" width="4.625" style="55" customWidth="1"/>
    <col min="2" max="2" width="28.875" style="55" bestFit="1" customWidth="1"/>
    <col min="3" max="3" width="17.5" style="55" bestFit="1" customWidth="1"/>
    <col min="4" max="5" width="10.125" style="55" bestFit="1" customWidth="1"/>
    <col min="6" max="6" width="13.5" style="55" bestFit="1" customWidth="1"/>
    <col min="7" max="7" width="9.25" style="55" bestFit="1" customWidth="1"/>
    <col min="8" max="8" width="8.125" style="55" bestFit="1" customWidth="1"/>
    <col min="9" max="9" width="10.75" style="55" bestFit="1" customWidth="1"/>
    <col min="10" max="10" width="8" style="55" bestFit="1" customWidth="1"/>
    <col min="11" max="11" width="10.125" style="55" bestFit="1" customWidth="1"/>
    <col min="12" max="12" width="3.5" style="55" customWidth="1"/>
    <col min="13" max="13" width="11.25" style="55" bestFit="1" customWidth="1"/>
    <col min="14" max="14" width="10" style="55" bestFit="1" customWidth="1"/>
    <col min="15" max="15" width="10.375" style="55" bestFit="1" customWidth="1"/>
    <col min="16" max="16384" width="8.75" style="55"/>
  </cols>
  <sheetData>
    <row r="1" spans="1:19">
      <c r="A1" s="309" t="s">
        <v>80</v>
      </c>
      <c r="B1" s="310" t="s">
        <v>165</v>
      </c>
      <c r="C1" s="310"/>
      <c r="D1" s="310"/>
      <c r="E1" s="310"/>
      <c r="F1" s="310"/>
      <c r="G1" s="310"/>
      <c r="H1" s="310"/>
      <c r="I1" s="310"/>
      <c r="J1" s="310"/>
      <c r="K1" s="310"/>
    </row>
    <row r="2" spans="1:19">
      <c r="A2" s="309" t="s">
        <v>514</v>
      </c>
      <c r="B2" s="310" t="s">
        <v>165</v>
      </c>
      <c r="C2" s="310"/>
      <c r="D2" s="310"/>
      <c r="E2" s="310"/>
      <c r="F2" s="310"/>
      <c r="G2" s="310"/>
      <c r="H2" s="310"/>
      <c r="I2" s="310"/>
      <c r="J2" s="310"/>
      <c r="K2" s="310"/>
    </row>
    <row r="3" spans="1:19">
      <c r="A3" s="310" t="s">
        <v>166</v>
      </c>
      <c r="B3" s="310" t="s">
        <v>166</v>
      </c>
      <c r="C3" s="310"/>
      <c r="D3" s="310"/>
      <c r="E3" s="310"/>
      <c r="F3" s="310"/>
      <c r="G3" s="310"/>
      <c r="H3" s="310"/>
      <c r="I3" s="310"/>
      <c r="J3" s="310"/>
      <c r="K3" s="310"/>
    </row>
    <row r="4" spans="1:19"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9" ht="60">
      <c r="A5" s="57" t="s">
        <v>167</v>
      </c>
      <c r="B5" s="57" t="s">
        <v>168</v>
      </c>
      <c r="C5" s="57" t="s">
        <v>169</v>
      </c>
      <c r="D5" s="58" t="s">
        <v>199</v>
      </c>
      <c r="E5" s="58" t="s">
        <v>203</v>
      </c>
      <c r="F5" s="58" t="s">
        <v>202</v>
      </c>
      <c r="G5" s="58" t="s">
        <v>571</v>
      </c>
      <c r="H5" s="58" t="s">
        <v>170</v>
      </c>
      <c r="I5" s="58" t="s">
        <v>171</v>
      </c>
      <c r="J5" s="58" t="s">
        <v>201</v>
      </c>
      <c r="K5" s="58" t="s">
        <v>200</v>
      </c>
      <c r="M5" s="58" t="s">
        <v>308</v>
      </c>
    </row>
    <row r="6" spans="1:19">
      <c r="A6" s="59"/>
      <c r="B6" s="60"/>
      <c r="C6" s="61"/>
      <c r="D6" s="61" t="s">
        <v>172</v>
      </c>
      <c r="E6" s="61" t="s">
        <v>173</v>
      </c>
      <c r="F6" s="59" t="s">
        <v>174</v>
      </c>
      <c r="G6" s="61" t="s">
        <v>175</v>
      </c>
      <c r="H6" s="59" t="s">
        <v>176</v>
      </c>
      <c r="I6" s="59" t="s">
        <v>177</v>
      </c>
      <c r="J6" s="62" t="s">
        <v>178</v>
      </c>
      <c r="K6" s="62" t="s">
        <v>179</v>
      </c>
    </row>
    <row r="7" spans="1:19">
      <c r="A7" s="59"/>
      <c r="B7" s="60"/>
      <c r="C7" s="61"/>
      <c r="D7" s="61"/>
      <c r="E7" s="61"/>
      <c r="F7" s="59"/>
      <c r="G7" s="61"/>
      <c r="H7" s="59"/>
      <c r="I7" s="59"/>
      <c r="J7" s="59"/>
      <c r="K7" s="59"/>
    </row>
    <row r="8" spans="1:19">
      <c r="A8" s="63">
        <v>1</v>
      </c>
      <c r="B8" s="64" t="s">
        <v>180</v>
      </c>
      <c r="C8" s="286">
        <v>7</v>
      </c>
      <c r="D8" s="65">
        <f>+'Exhibit No.__(JAP-Prof-Prop)'!I17</f>
        <v>10658082.710537091</v>
      </c>
      <c r="E8" s="66">
        <f>+'Exhibit No.__(JAP-Prof-Prop)'!L17</f>
        <v>1109622.487</v>
      </c>
      <c r="G8" s="82">
        <f>E8/(E$32-E$30-$E$24)</f>
        <v>0.55910252816635797</v>
      </c>
      <c r="H8" s="67">
        <v>1</v>
      </c>
      <c r="I8" s="75">
        <f>+$I$38*H8</f>
        <v>7.5658080232862565E-2</v>
      </c>
      <c r="J8" s="66">
        <f>+E8*I8</f>
        <v>83951.907149634499</v>
      </c>
      <c r="K8" s="66">
        <f>+E8+J8</f>
        <v>1193574.3941496345</v>
      </c>
      <c r="M8" s="84">
        <f>+J8*1000</f>
        <v>83951907.149634495</v>
      </c>
      <c r="O8" s="197"/>
      <c r="P8" s="197"/>
      <c r="R8" s="78"/>
      <c r="S8" s="78"/>
    </row>
    <row r="9" spans="1:19">
      <c r="A9" s="63">
        <f>+A8+1</f>
        <v>2</v>
      </c>
      <c r="C9" s="286"/>
      <c r="D9" s="68"/>
      <c r="E9" s="69"/>
      <c r="G9" s="82"/>
      <c r="J9" s="69"/>
      <c r="K9" s="69"/>
      <c r="M9" s="84">
        <f t="shared" ref="M9:M32" si="0">+J9*1000</f>
        <v>0</v>
      </c>
      <c r="O9" s="197"/>
      <c r="P9" s="197"/>
    </row>
    <row r="10" spans="1:19">
      <c r="A10" s="63">
        <f t="shared" ref="A10:A46" si="1">+A9+1</f>
        <v>3</v>
      </c>
      <c r="B10" s="55" t="s">
        <v>135</v>
      </c>
      <c r="C10" s="286"/>
      <c r="D10" s="68"/>
      <c r="E10" s="69"/>
      <c r="G10" s="82"/>
      <c r="J10" s="69"/>
      <c r="K10" s="69"/>
      <c r="M10" s="84">
        <f t="shared" si="0"/>
        <v>0</v>
      </c>
      <c r="O10" s="197"/>
      <c r="P10" s="197"/>
    </row>
    <row r="11" spans="1:19">
      <c r="A11" s="63">
        <f t="shared" si="1"/>
        <v>4</v>
      </c>
      <c r="B11" s="70" t="s">
        <v>181</v>
      </c>
      <c r="C11" s="285" t="s">
        <v>182</v>
      </c>
      <c r="D11" s="72">
        <f>SUM('Exhibit No.__(JAP-Prof-Prop)'!I21)</f>
        <v>2700716.8408001168</v>
      </c>
      <c r="E11" s="69">
        <f>SUM('Exhibit No.__(JAP-Prof-Prop)'!L21)</f>
        <v>263446.49300000002</v>
      </c>
      <c r="G11" s="82">
        <f>E11/(E$32-E$30-$E$24)</f>
        <v>0.13274208300436213</v>
      </c>
      <c r="H11" s="67">
        <v>1</v>
      </c>
      <c r="I11" s="75">
        <f t="shared" ref="I11:I13" si="2">+$I$38*H11</f>
        <v>7.5658080232862565E-2</v>
      </c>
      <c r="J11" s="69">
        <f>+E11*I11</f>
        <v>19931.855904460266</v>
      </c>
      <c r="K11" s="69">
        <f>+E11+J11</f>
        <v>283378.34890446026</v>
      </c>
      <c r="M11" s="84">
        <f t="shared" si="0"/>
        <v>19931855.904460266</v>
      </c>
      <c r="O11" s="197"/>
      <c r="P11" s="197"/>
      <c r="R11" s="78"/>
      <c r="S11" s="78"/>
    </row>
    <row r="12" spans="1:19">
      <c r="A12" s="63">
        <f t="shared" si="1"/>
        <v>5</v>
      </c>
      <c r="B12" s="70" t="s">
        <v>183</v>
      </c>
      <c r="C12" s="285" t="s">
        <v>184</v>
      </c>
      <c r="D12" s="72">
        <f>SUM('Exhibit No.__(JAP-Prof-Prop)'!I22,'Exhibit No.__(JAP-Prof-Prop)'!I24)</f>
        <v>3004525.0864655981</v>
      </c>
      <c r="E12" s="69">
        <f>SUM('Exhibit No.__(JAP-Prof-Prop)'!L22,'Exhibit No.__(JAP-Prof-Prop)'!L24)</f>
        <v>270592.842</v>
      </c>
      <c r="G12" s="82">
        <f>E12/(E$32-E$30-$E$24)</f>
        <v>0.13634289484791223</v>
      </c>
      <c r="H12" s="67">
        <v>0.75</v>
      </c>
      <c r="I12" s="75">
        <f t="shared" si="2"/>
        <v>5.674356017464692E-2</v>
      </c>
      <c r="J12" s="69">
        <f>+E12*I12</f>
        <v>15354.401212855726</v>
      </c>
      <c r="K12" s="69">
        <f>+E12+J12</f>
        <v>285947.24321285571</v>
      </c>
      <c r="M12" s="84">
        <f t="shared" si="0"/>
        <v>15354401.212855726</v>
      </c>
      <c r="O12" s="197"/>
      <c r="P12" s="197"/>
      <c r="R12" s="78"/>
      <c r="S12" s="78"/>
    </row>
    <row r="13" spans="1:19">
      <c r="A13" s="63">
        <f t="shared" si="1"/>
        <v>6</v>
      </c>
      <c r="B13" s="70" t="s">
        <v>185</v>
      </c>
      <c r="C13" s="285" t="s">
        <v>186</v>
      </c>
      <c r="D13" s="72">
        <f>SUM('Exhibit No.__(JAP-Prof-Prop)'!I23)</f>
        <v>1939505.2731896485</v>
      </c>
      <c r="E13" s="69">
        <f>SUM('Exhibit No.__(JAP-Prof-Prop)'!L23)</f>
        <v>160178.13800000001</v>
      </c>
      <c r="G13" s="82">
        <f>E13/(E$32-E$30-$E$24)</f>
        <v>8.0708531921433374E-2</v>
      </c>
      <c r="H13" s="67">
        <v>0.75</v>
      </c>
      <c r="I13" s="75">
        <f t="shared" si="2"/>
        <v>5.674356017464692E-2</v>
      </c>
      <c r="J13" s="69">
        <f>+E13*I13</f>
        <v>9089.0778122658994</v>
      </c>
      <c r="K13" s="69">
        <f>+E13+J13</f>
        <v>169267.2158122659</v>
      </c>
      <c r="M13" s="84">
        <f t="shared" si="0"/>
        <v>9089077.812265899</v>
      </c>
      <c r="O13" s="197"/>
      <c r="P13" s="197"/>
      <c r="R13" s="78"/>
      <c r="S13" s="78"/>
    </row>
    <row r="14" spans="1:19">
      <c r="A14" s="63">
        <f t="shared" si="1"/>
        <v>7</v>
      </c>
      <c r="B14" s="71" t="s">
        <v>187</v>
      </c>
      <c r="C14" s="286"/>
      <c r="D14" s="76">
        <f>SUM(D11:D13)</f>
        <v>7644747.2004553638</v>
      </c>
      <c r="E14" s="66">
        <f>SUM(E11:E13)</f>
        <v>694217.473</v>
      </c>
      <c r="G14" s="82"/>
      <c r="J14" s="66">
        <f>SUM(J11:J13)</f>
        <v>44375.334929581892</v>
      </c>
      <c r="K14" s="66">
        <f>SUM(K11:K13)</f>
        <v>738592.80792958185</v>
      </c>
      <c r="M14" s="84">
        <f t="shared" si="0"/>
        <v>44375334.929581888</v>
      </c>
      <c r="O14" s="197"/>
      <c r="P14" s="197"/>
      <c r="R14" s="78"/>
      <c r="S14" s="78"/>
    </row>
    <row r="15" spans="1:19">
      <c r="A15" s="63">
        <f t="shared" si="1"/>
        <v>8</v>
      </c>
      <c r="C15" s="286"/>
      <c r="D15" s="72"/>
      <c r="E15" s="69"/>
      <c r="G15" s="82"/>
      <c r="J15" s="69"/>
      <c r="K15" s="69"/>
      <c r="M15" s="84">
        <f t="shared" si="0"/>
        <v>0</v>
      </c>
      <c r="O15" s="197"/>
      <c r="P15" s="197"/>
    </row>
    <row r="16" spans="1:19">
      <c r="A16" s="63">
        <f t="shared" si="1"/>
        <v>9</v>
      </c>
      <c r="B16" s="55" t="s">
        <v>134</v>
      </c>
      <c r="C16" s="286"/>
      <c r="D16" s="72"/>
      <c r="E16" s="69"/>
      <c r="G16" s="82"/>
      <c r="J16" s="69"/>
      <c r="K16" s="69"/>
      <c r="M16" s="84">
        <f t="shared" si="0"/>
        <v>0</v>
      </c>
      <c r="O16" s="197"/>
      <c r="P16" s="197"/>
    </row>
    <row r="17" spans="1:19">
      <c r="A17" s="63">
        <f t="shared" si="1"/>
        <v>10</v>
      </c>
      <c r="B17" s="70" t="s">
        <v>299</v>
      </c>
      <c r="C17" s="285" t="s">
        <v>301</v>
      </c>
      <c r="D17" s="72">
        <f>SUM('Exhibit No.__(JAP-Prof-Prop)'!I28)</f>
        <v>1407595.3481703061</v>
      </c>
      <c r="E17" s="69">
        <f>SUM('Exhibit No.__(JAP-Prof-Prop)'!L28)</f>
        <v>113234.14599999999</v>
      </c>
      <c r="G17" s="82">
        <f t="shared" ref="G17:G19" si="3">E17/(E$32-E$30-$E$24)</f>
        <v>5.7054987660283864E-2</v>
      </c>
      <c r="H17" s="67">
        <v>1</v>
      </c>
      <c r="I17" s="75">
        <f t="shared" ref="I17:I19" si="4">+$I$38*H17</f>
        <v>7.5658080232862565E-2</v>
      </c>
      <c r="J17" s="69">
        <f>+E17*I17</f>
        <v>8567.0781031676725</v>
      </c>
      <c r="K17" s="69">
        <f>+E17+J17</f>
        <v>121801.22410316767</v>
      </c>
      <c r="M17" s="84">
        <f t="shared" si="0"/>
        <v>8567078.1031676717</v>
      </c>
      <c r="O17" s="197"/>
      <c r="P17" s="197"/>
      <c r="R17" s="78"/>
      <c r="S17" s="78"/>
    </row>
    <row r="18" spans="1:19">
      <c r="A18" s="63">
        <f t="shared" si="1"/>
        <v>11</v>
      </c>
      <c r="B18" s="70" t="s">
        <v>300</v>
      </c>
      <c r="C18" s="285">
        <v>35</v>
      </c>
      <c r="D18" s="72">
        <f>SUM('Exhibit No.__(JAP-Prof-Prop)'!I29)</f>
        <v>4443.66</v>
      </c>
      <c r="E18" s="69">
        <f>SUM('Exhibit No.__(JAP-Prof-Prop)'!L29)</f>
        <v>268.01499999999999</v>
      </c>
      <c r="G18" s="82">
        <f t="shared" si="3"/>
        <v>1.3504400446284976E-4</v>
      </c>
      <c r="H18" s="67">
        <v>1.5</v>
      </c>
      <c r="I18" s="75">
        <f t="shared" ref="I18" si="5">+$I$38*H18</f>
        <v>0.11348712034929384</v>
      </c>
      <c r="J18" s="69">
        <f>+E18*I18</f>
        <v>30.416250560415985</v>
      </c>
      <c r="K18" s="69">
        <f>+E18+J18</f>
        <v>298.43125056041595</v>
      </c>
      <c r="M18" s="84">
        <f t="shared" ref="M18" si="6">+J18*1000</f>
        <v>30416.250560415985</v>
      </c>
      <c r="O18" s="197"/>
      <c r="P18" s="197"/>
      <c r="R18" s="78"/>
      <c r="S18" s="78"/>
    </row>
    <row r="19" spans="1:19">
      <c r="A19" s="63">
        <f t="shared" si="1"/>
        <v>12</v>
      </c>
      <c r="B19" s="73" t="s">
        <v>188</v>
      </c>
      <c r="C19" s="286">
        <v>43</v>
      </c>
      <c r="D19" s="72">
        <f>SUM('Exhibit No.__(JAP-Prof-Prop)'!I30)</f>
        <v>123102.08801083639</v>
      </c>
      <c r="E19" s="69">
        <f>SUM('Exhibit No.__(JAP-Prof-Prop)'!L30)</f>
        <v>10721.509</v>
      </c>
      <c r="G19" s="82">
        <f t="shared" si="3"/>
        <v>5.402218193923787E-3</v>
      </c>
      <c r="H19" s="67">
        <v>1.25</v>
      </c>
      <c r="I19" s="75">
        <f t="shared" si="4"/>
        <v>9.457260029107821E-2</v>
      </c>
      <c r="J19" s="69">
        <f>+E19*I19</f>
        <v>1013.9609851741976</v>
      </c>
      <c r="K19" s="69">
        <f>+E19+J19</f>
        <v>11735.469985174197</v>
      </c>
      <c r="M19" s="84">
        <f t="shared" si="0"/>
        <v>1013960.9851741976</v>
      </c>
      <c r="O19" s="197"/>
      <c r="P19" s="197"/>
      <c r="R19" s="78"/>
      <c r="S19" s="78"/>
    </row>
    <row r="20" spans="1:19">
      <c r="A20" s="63">
        <f t="shared" si="1"/>
        <v>13</v>
      </c>
      <c r="B20" s="64" t="s">
        <v>189</v>
      </c>
      <c r="C20" s="286"/>
      <c r="D20" s="76">
        <f>SUM(D17:D19)</f>
        <v>1535141.0961811424</v>
      </c>
      <c r="E20" s="66">
        <f>SUM(E17:E19)</f>
        <v>124223.67</v>
      </c>
      <c r="G20" s="82"/>
      <c r="J20" s="66">
        <f>SUM(J17:J19)</f>
        <v>9611.4553389022858</v>
      </c>
      <c r="K20" s="66">
        <f>SUM(K17:K19)</f>
        <v>133835.12533890229</v>
      </c>
      <c r="M20" s="84">
        <f t="shared" si="0"/>
        <v>9611455.3389022853</v>
      </c>
      <c r="O20" s="197"/>
      <c r="P20" s="197"/>
    </row>
    <row r="21" spans="1:19">
      <c r="A21" s="63">
        <f t="shared" si="1"/>
        <v>14</v>
      </c>
      <c r="C21" s="286"/>
      <c r="D21" s="74"/>
      <c r="E21" s="84"/>
      <c r="G21" s="75"/>
      <c r="M21" s="84">
        <f t="shared" si="0"/>
        <v>0</v>
      </c>
    </row>
    <row r="22" spans="1:19">
      <c r="A22" s="63">
        <f t="shared" si="1"/>
        <v>15</v>
      </c>
      <c r="B22" s="71" t="s">
        <v>190</v>
      </c>
      <c r="C22" s="286" t="s">
        <v>191</v>
      </c>
      <c r="D22" s="76">
        <f>SUM('Exhibit No.__(JAP-Prof-Prop)'!I36)</f>
        <v>620610.81340199988</v>
      </c>
      <c r="E22" s="66">
        <f>SUM('Exhibit No.__(JAP-Prof-Prop)'!L36)</f>
        <v>40128.248</v>
      </c>
      <c r="G22" s="82">
        <f t="shared" ref="G22" si="7">E22/(E$32-E$30-$E$24)</f>
        <v>2.0219313478717017E-2</v>
      </c>
      <c r="H22" s="67">
        <v>0.75</v>
      </c>
      <c r="I22" s="75">
        <f>+$I$38*H22</f>
        <v>5.674356017464692E-2</v>
      </c>
      <c r="J22" s="66">
        <f>+E22*I22</f>
        <v>2277.0196550911551</v>
      </c>
      <c r="K22" s="66">
        <f>+E22+J22</f>
        <v>42405.267655091156</v>
      </c>
      <c r="M22" s="84">
        <f t="shared" si="0"/>
        <v>2277019.6550911549</v>
      </c>
    </row>
    <row r="23" spans="1:19">
      <c r="A23" s="63">
        <f t="shared" si="1"/>
        <v>16</v>
      </c>
      <c r="C23" s="286"/>
      <c r="D23" s="74"/>
      <c r="E23" s="84"/>
      <c r="G23" s="75"/>
      <c r="J23" s="77"/>
      <c r="K23" s="77"/>
      <c r="M23" s="84">
        <f t="shared" si="0"/>
        <v>0</v>
      </c>
    </row>
    <row r="24" spans="1:19">
      <c r="A24" s="63">
        <f t="shared" si="1"/>
        <v>17</v>
      </c>
      <c r="B24" s="71" t="s">
        <v>513</v>
      </c>
      <c r="C24" s="285" t="s">
        <v>593</v>
      </c>
      <c r="D24" s="76">
        <f>SUM('Exhibit No.__(JAP-Prof-Prop)'!I41)</f>
        <v>2364714.7701700004</v>
      </c>
      <c r="E24" s="66">
        <f>SUM('Exhibit No.__(JAP-Prof-Prop)'!L41)</f>
        <v>15608.262999999999</v>
      </c>
      <c r="G24" s="82"/>
      <c r="H24" s="67"/>
      <c r="I24" s="75">
        <f>((J24)/E24)</f>
        <v>-6.5856996387106015E-2</v>
      </c>
      <c r="J24" s="66">
        <f>(+'Exhibit No.__(JAP-TRANSP RD)'!I25-'Exhibit No.__(JAP-TRANSP RD)'!F25)/1000+(+'Exhibit No.__(JAP-TRANSP RD)'!I41-'Exhibit No.__(JAP-TRANSP RD)'!F41)/1000</f>
        <v>-1027.9133200000003</v>
      </c>
      <c r="K24" s="66">
        <f>+E24+J24</f>
        <v>14580.349679999999</v>
      </c>
      <c r="M24" s="84">
        <f t="shared" si="0"/>
        <v>-1027913.3200000003</v>
      </c>
    </row>
    <row r="25" spans="1:19">
      <c r="A25" s="63">
        <f t="shared" si="1"/>
        <v>18</v>
      </c>
      <c r="C25" s="286"/>
      <c r="D25" s="74"/>
      <c r="E25" s="84"/>
      <c r="G25" s="75"/>
      <c r="M25" s="84">
        <f t="shared" si="0"/>
        <v>0</v>
      </c>
    </row>
    <row r="26" spans="1:19">
      <c r="A26" s="63">
        <f t="shared" si="1"/>
        <v>19</v>
      </c>
      <c r="B26" s="55" t="s">
        <v>194</v>
      </c>
      <c r="C26" s="286" t="s">
        <v>73</v>
      </c>
      <c r="D26" s="76">
        <f>+'Exhibit No.__(JAP-LIGHT RD) '!J22/1000</f>
        <v>69969.105296000009</v>
      </c>
      <c r="E26" s="66">
        <f>+'Exhibit No.__(JAP-LIGHT RD) '!F22/1000</f>
        <v>16457.504000000001</v>
      </c>
      <c r="G26" s="82">
        <f t="shared" ref="G26" si="8">E26/(E$32-E$30-$E$24)</f>
        <v>8.2923987225467528E-3</v>
      </c>
      <c r="H26" s="67">
        <v>1.25</v>
      </c>
      <c r="I26" s="75">
        <f>+$I$38*H26</f>
        <v>9.457260029107821E-2</v>
      </c>
      <c r="J26" s="66">
        <f>+E26*I26</f>
        <v>1556.4289475808209</v>
      </c>
      <c r="K26" s="66">
        <f>+E26+J26</f>
        <v>18013.932947580823</v>
      </c>
      <c r="M26" s="84">
        <f t="shared" si="0"/>
        <v>1556428.9475808209</v>
      </c>
      <c r="N26" s="84"/>
      <c r="O26" s="84"/>
    </row>
    <row r="27" spans="1:19">
      <c r="A27" s="63">
        <f t="shared" si="1"/>
        <v>20</v>
      </c>
      <c r="C27" s="286"/>
      <c r="D27" s="78"/>
      <c r="E27" s="84"/>
      <c r="G27" s="84"/>
      <c r="M27" s="84">
        <f t="shared" si="0"/>
        <v>0</v>
      </c>
    </row>
    <row r="28" spans="1:19" ht="12.75" thickBot="1">
      <c r="A28" s="63">
        <f t="shared" si="1"/>
        <v>21</v>
      </c>
      <c r="B28" s="71" t="s">
        <v>195</v>
      </c>
      <c r="C28" s="286"/>
      <c r="D28" s="79">
        <f>SUM(D26,D24,D22,D20,D14,D8)</f>
        <v>22893265.696041599</v>
      </c>
      <c r="E28" s="80">
        <f>SUM(E26,E24,E22,E20,E14,E8)</f>
        <v>2000257.645</v>
      </c>
      <c r="I28" s="75">
        <f>((J28)/E28)</f>
        <v>7.0363052006128274E-2</v>
      </c>
      <c r="J28" s="80">
        <f>SUM(J26,J24,J22,J20,J14,J8)</f>
        <v>140744.23270079066</v>
      </c>
      <c r="K28" s="80">
        <f>SUM(K26,K24,K22,K20,K14,K8)</f>
        <v>2141001.8777007908</v>
      </c>
      <c r="M28" s="84">
        <f t="shared" si="0"/>
        <v>140744232.70079064</v>
      </c>
    </row>
    <row r="29" spans="1:19" ht="12.75" thickTop="1">
      <c r="A29" s="63">
        <f t="shared" si="1"/>
        <v>22</v>
      </c>
      <c r="C29" s="286"/>
      <c r="D29" s="74"/>
      <c r="E29" s="84"/>
      <c r="G29" s="75"/>
      <c r="J29" s="77"/>
      <c r="K29" s="77"/>
      <c r="M29" s="84">
        <f t="shared" si="0"/>
        <v>0</v>
      </c>
    </row>
    <row r="30" spans="1:19">
      <c r="A30" s="63">
        <f t="shared" si="1"/>
        <v>23</v>
      </c>
      <c r="B30" s="71" t="s">
        <v>196</v>
      </c>
      <c r="C30" s="285"/>
      <c r="D30" s="76">
        <f>SUM('Exhibit No.__(JAP-Prof-Prop)'!I47)</f>
        <v>7197.5754843382783</v>
      </c>
      <c r="E30" s="66">
        <f>SUM('Exhibit No.__(JAP-Prof-Prop)'!L47)</f>
        <v>328.327</v>
      </c>
      <c r="G30" s="82"/>
      <c r="H30" s="75"/>
      <c r="I30" s="75">
        <f>((J30)/E30)</f>
        <v>1.1032211764776105</v>
      </c>
      <c r="J30" s="66">
        <v>362.21729920936446</v>
      </c>
      <c r="K30" s="66">
        <f>+E30+J30</f>
        <v>690.54429920936445</v>
      </c>
      <c r="M30" s="84">
        <f t="shared" si="0"/>
        <v>362217.29920936446</v>
      </c>
    </row>
    <row r="31" spans="1:19">
      <c r="A31" s="63">
        <f t="shared" si="1"/>
        <v>24</v>
      </c>
      <c r="C31" s="286"/>
      <c r="D31" s="78"/>
      <c r="E31" s="84"/>
      <c r="G31" s="84"/>
      <c r="M31" s="84">
        <f t="shared" si="0"/>
        <v>0</v>
      </c>
    </row>
    <row r="32" spans="1:19" ht="12.75" thickBot="1">
      <c r="A32" s="63">
        <f t="shared" si="1"/>
        <v>25</v>
      </c>
      <c r="B32" s="55" t="s">
        <v>197</v>
      </c>
      <c r="C32" s="286"/>
      <c r="D32" s="79">
        <f>SUM(D30,D28)</f>
        <v>22900463.271525938</v>
      </c>
      <c r="E32" s="80">
        <f>SUM(E30,E28)</f>
        <v>2000585.9720000001</v>
      </c>
      <c r="F32" s="80">
        <f>13370046+127736404</f>
        <v>141106450</v>
      </c>
      <c r="G32" s="81">
        <f>SUM(G8:G30)</f>
        <v>0.99999999999999989</v>
      </c>
      <c r="I32" s="81">
        <f>(+F32/1000)/E32</f>
        <v>7.0532559947391257E-2</v>
      </c>
      <c r="J32" s="80">
        <f>SUM(J30,J28)</f>
        <v>141106.45000000001</v>
      </c>
      <c r="K32" s="80">
        <f>SUM(K30,K28)</f>
        <v>2141692.4220000003</v>
      </c>
      <c r="M32" s="84">
        <f t="shared" si="0"/>
        <v>141106450</v>
      </c>
    </row>
    <row r="33" spans="1:11" ht="12.75" thickTop="1">
      <c r="A33" s="63">
        <f t="shared" si="1"/>
        <v>26</v>
      </c>
      <c r="C33" s="286"/>
      <c r="D33" s="68"/>
      <c r="E33" s="69"/>
      <c r="F33" s="69"/>
      <c r="G33" s="82"/>
      <c r="H33" s="69"/>
      <c r="I33" s="82"/>
      <c r="J33" s="83"/>
      <c r="K33" s="69"/>
    </row>
    <row r="34" spans="1:11" ht="12.75" thickBot="1">
      <c r="A34" s="63">
        <f t="shared" si="1"/>
        <v>27</v>
      </c>
      <c r="C34" s="286"/>
      <c r="D34" s="286"/>
      <c r="J34" s="84"/>
      <c r="K34" s="84"/>
    </row>
    <row r="35" spans="1:11">
      <c r="A35" s="63">
        <f t="shared" si="1"/>
        <v>28</v>
      </c>
      <c r="B35" s="311" t="s">
        <v>605</v>
      </c>
      <c r="C35" s="312"/>
      <c r="D35" s="312"/>
      <c r="E35" s="312"/>
      <c r="F35" s="85"/>
      <c r="G35" s="86"/>
      <c r="H35" s="85"/>
      <c r="I35" s="127">
        <f>(F32)/(E32*1000)</f>
        <v>7.0532559947391257E-2</v>
      </c>
    </row>
    <row r="36" spans="1:11">
      <c r="A36" s="63">
        <f t="shared" si="1"/>
        <v>29</v>
      </c>
      <c r="B36" s="313" t="s">
        <v>606</v>
      </c>
      <c r="C36" s="314"/>
      <c r="D36" s="314"/>
      <c r="E36" s="314"/>
      <c r="F36" s="77"/>
      <c r="G36" s="77"/>
      <c r="H36" s="77"/>
      <c r="I36" s="128">
        <f>((F32/1000)-(J24)-(J30))/(E32-E24-E30)</f>
        <v>7.1434353748631385E-2</v>
      </c>
      <c r="K36" s="84"/>
    </row>
    <row r="37" spans="1:11">
      <c r="A37" s="63">
        <f t="shared" si="1"/>
        <v>30</v>
      </c>
      <c r="B37" s="315" t="s">
        <v>198</v>
      </c>
      <c r="C37" s="316"/>
      <c r="D37" s="316"/>
      <c r="E37" s="316"/>
      <c r="F37" s="77"/>
      <c r="G37" s="77"/>
      <c r="H37" s="77"/>
      <c r="I37" s="87">
        <f>1/SUMPRODUCT($H$8:$H$30,$G$8:$G$30)</f>
        <v>1.0591273842707942</v>
      </c>
      <c r="K37" s="84"/>
    </row>
    <row r="38" spans="1:11" ht="12.75" thickBot="1">
      <c r="A38" s="63">
        <f t="shared" si="1"/>
        <v>31</v>
      </c>
      <c r="B38" s="307" t="s">
        <v>573</v>
      </c>
      <c r="C38" s="308"/>
      <c r="D38" s="308"/>
      <c r="E38" s="308"/>
      <c r="F38" s="88"/>
      <c r="G38" s="88"/>
      <c r="H38" s="88"/>
      <c r="I38" s="129">
        <f>I37*I36</f>
        <v>7.5658080232862565E-2</v>
      </c>
      <c r="K38" s="84"/>
    </row>
    <row r="39" spans="1:11">
      <c r="A39" s="63"/>
      <c r="B39" s="89"/>
      <c r="C39" s="89"/>
      <c r="D39" s="89"/>
      <c r="E39" s="89"/>
      <c r="F39" s="89"/>
      <c r="G39" s="89"/>
    </row>
    <row r="40" spans="1:11">
      <c r="A40" s="63"/>
    </row>
    <row r="41" spans="1:11">
      <c r="A41" s="63"/>
    </row>
    <row r="42" spans="1:11">
      <c r="A42" s="63"/>
    </row>
    <row r="43" spans="1:11">
      <c r="A43" s="63"/>
      <c r="C43" s="71"/>
      <c r="F43" s="359"/>
    </row>
    <row r="44" spans="1:11">
      <c r="A44" s="63"/>
      <c r="C44" s="71"/>
      <c r="F44" s="359"/>
    </row>
    <row r="45" spans="1:11">
      <c r="A45" s="63"/>
      <c r="F45" s="359"/>
    </row>
    <row r="46" spans="1:11">
      <c r="A46" s="63"/>
      <c r="F46" s="359"/>
    </row>
    <row r="48" spans="1:11">
      <c r="F48" s="84"/>
    </row>
    <row r="49" spans="6:6">
      <c r="F49" s="84"/>
    </row>
    <row r="50" spans="6:6">
      <c r="F50" s="84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84" fitToWidth="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H1"/>
    </sheetView>
  </sheetViews>
  <sheetFormatPr defaultColWidth="38.75" defaultRowHeight="15.75"/>
  <cols>
    <col min="1" max="1" width="6.875" style="178" bestFit="1" customWidth="1"/>
    <col min="2" max="2" width="24.625" style="178" bestFit="1" customWidth="1"/>
    <col min="3" max="3" width="6.75" style="178" bestFit="1" customWidth="1"/>
    <col min="4" max="4" width="16.25" style="178" bestFit="1" customWidth="1"/>
    <col min="5" max="5" width="36.5" style="178" bestFit="1" customWidth="1"/>
    <col min="6" max="6" width="16.875" style="178" bestFit="1" customWidth="1"/>
    <col min="7" max="7" width="24.75" style="178" bestFit="1" customWidth="1"/>
    <col min="8" max="8" width="16.75" style="178" bestFit="1" customWidth="1"/>
    <col min="9" max="16384" width="38.75" style="178"/>
  </cols>
  <sheetData>
    <row r="1" spans="1:8">
      <c r="A1" s="317" t="s">
        <v>80</v>
      </c>
      <c r="B1" s="317"/>
      <c r="C1" s="317"/>
      <c r="D1" s="317"/>
      <c r="E1" s="317"/>
      <c r="F1" s="317"/>
      <c r="G1" s="317"/>
      <c r="H1" s="317"/>
    </row>
    <row r="2" spans="1:8">
      <c r="A2" s="317" t="s">
        <v>274</v>
      </c>
      <c r="B2" s="317"/>
      <c r="C2" s="317"/>
      <c r="D2" s="317"/>
      <c r="E2" s="317"/>
      <c r="F2" s="317"/>
      <c r="G2" s="317"/>
      <c r="H2" s="317"/>
    </row>
    <row r="3" spans="1:8">
      <c r="A3" s="318" t="s">
        <v>595</v>
      </c>
      <c r="B3" s="317"/>
      <c r="C3" s="317"/>
      <c r="D3" s="317"/>
      <c r="E3" s="317"/>
      <c r="F3" s="317"/>
      <c r="G3" s="317"/>
      <c r="H3" s="317"/>
    </row>
    <row r="4" spans="1:8" ht="16.5" thickBot="1">
      <c r="A4" s="155"/>
      <c r="B4" s="155"/>
      <c r="C4" s="155"/>
      <c r="D4" s="155"/>
      <c r="E4" s="155"/>
      <c r="F4" s="155"/>
      <c r="G4" s="155"/>
      <c r="H4" s="155"/>
    </row>
    <row r="5" spans="1:8" ht="16.5" thickBot="1">
      <c r="A5" s="156" t="s">
        <v>167</v>
      </c>
      <c r="B5" s="157" t="s">
        <v>275</v>
      </c>
      <c r="C5" s="157" t="s">
        <v>276</v>
      </c>
      <c r="D5" s="157" t="s">
        <v>41</v>
      </c>
      <c r="E5" s="157" t="s">
        <v>151</v>
      </c>
      <c r="F5" s="157" t="s">
        <v>136</v>
      </c>
      <c r="G5" s="157" t="s">
        <v>83</v>
      </c>
      <c r="H5" s="158" t="s">
        <v>277</v>
      </c>
    </row>
    <row r="6" spans="1:8" ht="25.5">
      <c r="A6" s="159">
        <v>1</v>
      </c>
      <c r="B6" s="160" t="s">
        <v>180</v>
      </c>
      <c r="C6" s="161">
        <v>7</v>
      </c>
      <c r="D6" s="171" t="s">
        <v>303</v>
      </c>
      <c r="E6" s="161" t="s">
        <v>279</v>
      </c>
      <c r="F6" s="161" t="s">
        <v>279</v>
      </c>
      <c r="G6" s="163" t="s">
        <v>622</v>
      </c>
      <c r="H6" s="164" t="s">
        <v>279</v>
      </c>
    </row>
    <row r="7" spans="1:8" ht="25.5">
      <c r="A7" s="165">
        <f>+A6+1</f>
        <v>2</v>
      </c>
      <c r="B7" s="166" t="s">
        <v>280</v>
      </c>
      <c r="C7" s="162">
        <v>24</v>
      </c>
      <c r="D7" s="162" t="s">
        <v>278</v>
      </c>
      <c r="E7" s="162" t="s">
        <v>279</v>
      </c>
      <c r="F7" s="162" t="s">
        <v>279</v>
      </c>
      <c r="G7" s="163" t="s">
        <v>281</v>
      </c>
      <c r="H7" s="167" t="s">
        <v>279</v>
      </c>
    </row>
    <row r="8" spans="1:8" ht="38.25">
      <c r="A8" s="165">
        <f t="shared" ref="A8:A18" si="0">+A7+1</f>
        <v>3</v>
      </c>
      <c r="B8" s="166" t="s">
        <v>282</v>
      </c>
      <c r="C8" s="162">
        <v>25</v>
      </c>
      <c r="D8" s="162" t="s">
        <v>278</v>
      </c>
      <c r="E8" s="168" t="s">
        <v>501</v>
      </c>
      <c r="F8" s="168" t="s">
        <v>501</v>
      </c>
      <c r="G8" s="168" t="s">
        <v>607</v>
      </c>
      <c r="H8" s="167" t="s">
        <v>279</v>
      </c>
    </row>
    <row r="9" spans="1:8">
      <c r="A9" s="165">
        <f t="shared" si="0"/>
        <v>4</v>
      </c>
      <c r="B9" s="166" t="s">
        <v>284</v>
      </c>
      <c r="C9" s="162">
        <v>26</v>
      </c>
      <c r="D9" s="162" t="s">
        <v>278</v>
      </c>
      <c r="E9" s="168" t="s">
        <v>285</v>
      </c>
      <c r="F9" s="162" t="s">
        <v>283</v>
      </c>
      <c r="G9" s="168" t="s">
        <v>285</v>
      </c>
      <c r="H9" s="167" t="s">
        <v>279</v>
      </c>
    </row>
    <row r="10" spans="1:8">
      <c r="A10" s="165">
        <f t="shared" si="0"/>
        <v>5</v>
      </c>
      <c r="B10" s="166" t="s">
        <v>286</v>
      </c>
      <c r="C10" s="162">
        <v>29</v>
      </c>
      <c r="D10" s="162" t="s">
        <v>278</v>
      </c>
      <c r="E10" s="162" t="s">
        <v>278</v>
      </c>
      <c r="F10" s="162" t="s">
        <v>283</v>
      </c>
      <c r="G10" s="168" t="s">
        <v>297</v>
      </c>
      <c r="H10" s="167" t="s">
        <v>279</v>
      </c>
    </row>
    <row r="11" spans="1:8" ht="25.5">
      <c r="A11" s="165">
        <f t="shared" si="0"/>
        <v>6</v>
      </c>
      <c r="B11" s="169" t="s">
        <v>287</v>
      </c>
      <c r="C11" s="162">
        <v>31</v>
      </c>
      <c r="D11" s="162" t="s">
        <v>278</v>
      </c>
      <c r="E11" s="162" t="s">
        <v>278</v>
      </c>
      <c r="F11" s="162" t="s">
        <v>283</v>
      </c>
      <c r="G11" s="170" t="s">
        <v>288</v>
      </c>
      <c r="H11" s="167" t="s">
        <v>279</v>
      </c>
    </row>
    <row r="12" spans="1:8">
      <c r="A12" s="165">
        <f t="shared" si="0"/>
        <v>7</v>
      </c>
      <c r="B12" s="166" t="s">
        <v>289</v>
      </c>
      <c r="C12" s="162">
        <v>35</v>
      </c>
      <c r="D12" s="171" t="s">
        <v>290</v>
      </c>
      <c r="E12" s="162" t="s">
        <v>278</v>
      </c>
      <c r="F12" s="162" t="s">
        <v>283</v>
      </c>
      <c r="G12" s="162" t="s">
        <v>291</v>
      </c>
      <c r="H12" s="167" t="s">
        <v>279</v>
      </c>
    </row>
    <row r="13" spans="1:8">
      <c r="A13" s="165">
        <f t="shared" si="0"/>
        <v>8</v>
      </c>
      <c r="B13" s="166" t="s">
        <v>292</v>
      </c>
      <c r="C13" s="162">
        <v>43</v>
      </c>
      <c r="D13" s="171" t="s">
        <v>290</v>
      </c>
      <c r="E13" s="162" t="s">
        <v>278</v>
      </c>
      <c r="F13" s="162" t="s">
        <v>283</v>
      </c>
      <c r="G13" s="162" t="s">
        <v>291</v>
      </c>
      <c r="H13" s="167" t="s">
        <v>279</v>
      </c>
    </row>
    <row r="14" spans="1:8">
      <c r="A14" s="165">
        <f>+A13+1</f>
        <v>9</v>
      </c>
      <c r="B14" s="169" t="s">
        <v>293</v>
      </c>
      <c r="C14" s="162">
        <v>46</v>
      </c>
      <c r="D14" s="162" t="s">
        <v>279</v>
      </c>
      <c r="E14" s="162" t="s">
        <v>278</v>
      </c>
      <c r="F14" s="162" t="s">
        <v>279</v>
      </c>
      <c r="G14" s="162" t="s">
        <v>294</v>
      </c>
      <c r="H14" s="167" t="s">
        <v>279</v>
      </c>
    </row>
    <row r="15" spans="1:8" ht="25.5">
      <c r="A15" s="165">
        <f t="shared" si="0"/>
        <v>10</v>
      </c>
      <c r="B15" s="166" t="s">
        <v>295</v>
      </c>
      <c r="C15" s="162">
        <v>49</v>
      </c>
      <c r="D15" s="162" t="s">
        <v>279</v>
      </c>
      <c r="E15" s="162" t="s">
        <v>278</v>
      </c>
      <c r="F15" s="162" t="s">
        <v>279</v>
      </c>
      <c r="G15" s="162" t="s">
        <v>444</v>
      </c>
      <c r="H15" s="167" t="s">
        <v>279</v>
      </c>
    </row>
    <row r="16" spans="1:8">
      <c r="A16" s="165">
        <f t="shared" si="0"/>
        <v>11</v>
      </c>
      <c r="B16" s="169" t="s">
        <v>194</v>
      </c>
      <c r="C16" s="162" t="s">
        <v>73</v>
      </c>
      <c r="D16" s="162" t="s">
        <v>279</v>
      </c>
      <c r="E16" s="162" t="s">
        <v>279</v>
      </c>
      <c r="F16" s="162" t="s">
        <v>279</v>
      </c>
      <c r="G16" s="162" t="s">
        <v>279</v>
      </c>
      <c r="H16" s="167" t="s">
        <v>298</v>
      </c>
    </row>
    <row r="17" spans="1:8">
      <c r="A17" s="165">
        <f t="shared" si="0"/>
        <v>12</v>
      </c>
      <c r="B17" s="169" t="s">
        <v>192</v>
      </c>
      <c r="C17" s="162" t="s">
        <v>296</v>
      </c>
      <c r="D17" s="168" t="s">
        <v>147</v>
      </c>
      <c r="E17" s="162" t="s">
        <v>279</v>
      </c>
      <c r="F17" s="162" t="s">
        <v>279</v>
      </c>
      <c r="G17" s="162" t="s">
        <v>279</v>
      </c>
      <c r="H17" s="167" t="s">
        <v>279</v>
      </c>
    </row>
    <row r="18" spans="1:8">
      <c r="A18" s="165">
        <f t="shared" si="0"/>
        <v>13</v>
      </c>
      <c r="B18" s="169" t="s">
        <v>592</v>
      </c>
      <c r="C18" s="162" t="s">
        <v>505</v>
      </c>
      <c r="D18" s="168" t="s">
        <v>147</v>
      </c>
      <c r="E18" s="162" t="s">
        <v>572</v>
      </c>
      <c r="F18" s="162" t="s">
        <v>279</v>
      </c>
      <c r="G18" s="162" t="s">
        <v>279</v>
      </c>
      <c r="H18" s="167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Y60"/>
  <sheetViews>
    <sheetView zoomScale="70" zoomScaleNormal="70" zoomScaleSheetLayoutView="70" workbookViewId="0">
      <pane xSplit="6" ySplit="14" topLeftCell="G15" activePane="bottomRight" state="frozen"/>
      <selection activeCellId="1" sqref="A1:J1 A1:XFD1048576"/>
      <selection pane="topRight" activeCellId="1" sqref="A1:J1 A1:XFD1048576"/>
      <selection pane="bottomLeft" activeCellId="1" sqref="A1:J1 A1:XFD1048576"/>
      <selection pane="bottomRight" activeCell="G15" sqref="G15"/>
    </sheetView>
  </sheetViews>
  <sheetFormatPr defaultColWidth="6.5" defaultRowHeight="15.75"/>
  <cols>
    <col min="1" max="1" width="5.25" style="178" bestFit="1" customWidth="1"/>
    <col min="2" max="2" width="2" style="178" customWidth="1"/>
    <col min="3" max="3" width="55.25" style="178" bestFit="1" customWidth="1"/>
    <col min="4" max="4" width="2" style="178" customWidth="1"/>
    <col min="5" max="5" width="16.5" style="178" bestFit="1" customWidth="1"/>
    <col min="6" max="6" width="2" style="178" customWidth="1"/>
    <col min="7" max="7" width="11.75" style="178" bestFit="1" customWidth="1"/>
    <col min="8" max="8" width="2" style="178" customWidth="1"/>
    <col min="9" max="9" width="13.25" style="178" bestFit="1" customWidth="1"/>
    <col min="10" max="10" width="12.75" style="178" customWidth="1"/>
    <col min="11" max="11" width="2" style="178" customWidth="1"/>
    <col min="12" max="12" width="13.5" style="178" bestFit="1" customWidth="1"/>
    <col min="13" max="13" width="2" style="178" customWidth="1"/>
    <col min="14" max="14" width="14.875" style="178" bestFit="1" customWidth="1"/>
    <col min="15" max="15" width="2" style="178" customWidth="1"/>
    <col min="16" max="16" width="11.875" style="178" bestFit="1" customWidth="1"/>
    <col min="17" max="17" width="9.5" style="178" bestFit="1" customWidth="1"/>
    <col min="18" max="18" width="2" style="178" customWidth="1"/>
    <col min="19" max="19" width="12.25" style="178" bestFit="1" customWidth="1"/>
    <col min="20" max="20" width="2" style="178" customWidth="1"/>
    <col min="21" max="21" width="10.75" style="178" bestFit="1" customWidth="1"/>
    <col min="22" max="22" width="10.875" style="178" bestFit="1" customWidth="1"/>
    <col min="23" max="16384" width="6.5" style="178"/>
  </cols>
  <sheetData>
    <row r="1" spans="1:22" ht="18.75">
      <c r="B1" s="1"/>
      <c r="C1" s="1"/>
      <c r="N1" s="178" t="s">
        <v>0</v>
      </c>
    </row>
    <row r="2" spans="1:22">
      <c r="A2" s="319" t="s">
        <v>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2"/>
    </row>
    <row r="3" spans="1:22">
      <c r="A3" s="320" t="s">
        <v>51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"/>
      <c r="T3" s="3"/>
    </row>
    <row r="4" spans="1:22">
      <c r="A4" s="320" t="s">
        <v>2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"/>
      <c r="T4" s="3"/>
    </row>
    <row r="5" spans="1:22">
      <c r="A5" s="319" t="s">
        <v>89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"/>
      <c r="T5" s="3"/>
    </row>
    <row r="6" spans="1:22">
      <c r="A6" s="319" t="s">
        <v>512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"/>
      <c r="T6" s="3"/>
    </row>
    <row r="7" spans="1:22">
      <c r="A7" s="319"/>
      <c r="B7" s="319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2"/>
      <c r="T7" s="2"/>
    </row>
    <row r="8" spans="1:22">
      <c r="A8" s="292"/>
      <c r="B8" s="292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"/>
      <c r="S8" s="2"/>
      <c r="T8" s="2"/>
    </row>
    <row r="9" spans="1:22">
      <c r="K9" s="90"/>
      <c r="L9" s="4"/>
      <c r="M9" s="5"/>
      <c r="N9" s="323" t="s">
        <v>613</v>
      </c>
      <c r="O9" s="324"/>
      <c r="P9" s="324"/>
      <c r="Q9" s="325"/>
      <c r="R9" s="5"/>
      <c r="S9" s="6"/>
      <c r="T9" s="5"/>
    </row>
    <row r="10" spans="1:22">
      <c r="L10" s="287" t="s">
        <v>3</v>
      </c>
      <c r="M10" s="7"/>
      <c r="N10" s="326" t="s">
        <v>4</v>
      </c>
      <c r="O10" s="327"/>
      <c r="P10" s="327"/>
      <c r="Q10" s="328"/>
      <c r="R10" s="7"/>
      <c r="S10" s="10"/>
      <c r="T10" s="7"/>
    </row>
    <row r="11" spans="1:22">
      <c r="E11" s="288" t="s">
        <v>149</v>
      </c>
      <c r="F11" s="287"/>
      <c r="L11" s="10" t="s">
        <v>5</v>
      </c>
      <c r="M11" s="8"/>
      <c r="N11" s="10" t="s">
        <v>5</v>
      </c>
      <c r="O11" s="10"/>
      <c r="P11" s="9" t="s">
        <v>0</v>
      </c>
      <c r="Q11" s="9"/>
      <c r="R11" s="9"/>
      <c r="S11" s="10" t="s">
        <v>4</v>
      </c>
      <c r="T11" s="287"/>
      <c r="U11" s="321" t="s">
        <v>576</v>
      </c>
      <c r="V11" s="322" t="s">
        <v>37</v>
      </c>
    </row>
    <row r="12" spans="1:22">
      <c r="A12" s="287" t="s">
        <v>6</v>
      </c>
      <c r="E12" s="287" t="s">
        <v>7</v>
      </c>
      <c r="F12" s="287"/>
      <c r="G12" s="288" t="s">
        <v>574</v>
      </c>
      <c r="I12" s="287" t="s">
        <v>587</v>
      </c>
      <c r="J12" s="287" t="s">
        <v>586</v>
      </c>
      <c r="L12" s="287" t="s">
        <v>8</v>
      </c>
      <c r="M12" s="287"/>
      <c r="N12" s="205" t="s">
        <v>8</v>
      </c>
      <c r="O12" s="287"/>
      <c r="P12" s="288" t="s">
        <v>9</v>
      </c>
      <c r="Q12" s="287" t="s">
        <v>5</v>
      </c>
      <c r="R12" s="287"/>
      <c r="S12" s="287" t="s">
        <v>10</v>
      </c>
      <c r="T12" s="10"/>
      <c r="U12" s="322"/>
      <c r="V12" s="322"/>
    </row>
    <row r="13" spans="1:22">
      <c r="A13" s="11" t="s">
        <v>11</v>
      </c>
      <c r="C13" s="11" t="s">
        <v>12</v>
      </c>
      <c r="E13" s="11" t="s">
        <v>11</v>
      </c>
      <c r="F13" s="10"/>
      <c r="G13" s="14" t="s">
        <v>575</v>
      </c>
      <c r="I13" s="14" t="s">
        <v>588</v>
      </c>
      <c r="J13" s="14" t="s">
        <v>589</v>
      </c>
      <c r="L13" s="12" t="s">
        <v>13</v>
      </c>
      <c r="M13" s="10"/>
      <c r="N13" s="206" t="s">
        <v>13</v>
      </c>
      <c r="O13" s="13"/>
      <c r="P13" s="14" t="s">
        <v>13</v>
      </c>
      <c r="Q13" s="289" t="s">
        <v>14</v>
      </c>
      <c r="R13" s="10"/>
      <c r="S13" s="12" t="s">
        <v>15</v>
      </c>
      <c r="T13" s="10"/>
      <c r="U13" s="322"/>
      <c r="V13" s="322"/>
    </row>
    <row r="14" spans="1:22">
      <c r="A14" s="15"/>
      <c r="C14" s="288" t="s">
        <v>16</v>
      </c>
      <c r="E14" s="288" t="s">
        <v>17</v>
      </c>
      <c r="F14" s="287"/>
      <c r="G14" s="288" t="s">
        <v>18</v>
      </c>
      <c r="I14" s="288" t="s">
        <v>19</v>
      </c>
      <c r="J14" s="288" t="s">
        <v>19</v>
      </c>
      <c r="L14" s="288" t="s">
        <v>20</v>
      </c>
      <c r="M14" s="288"/>
      <c r="N14" s="288" t="s">
        <v>21</v>
      </c>
      <c r="O14" s="288"/>
      <c r="P14" s="288" t="s">
        <v>22</v>
      </c>
      <c r="Q14" s="288" t="s">
        <v>23</v>
      </c>
      <c r="R14" s="288"/>
      <c r="S14" s="288" t="s">
        <v>24</v>
      </c>
      <c r="T14" s="8"/>
      <c r="U14" s="288" t="s">
        <v>577</v>
      </c>
      <c r="V14" s="288" t="s">
        <v>578</v>
      </c>
    </row>
    <row r="15" spans="1:22">
      <c r="M15" s="288"/>
      <c r="N15" s="288" t="s">
        <v>0</v>
      </c>
      <c r="P15" s="288" t="s">
        <v>71</v>
      </c>
      <c r="Q15" s="288" t="s">
        <v>25</v>
      </c>
      <c r="S15" s="288" t="s">
        <v>26</v>
      </c>
      <c r="T15" s="90"/>
      <c r="V15" s="288" t="s">
        <v>579</v>
      </c>
    </row>
    <row r="16" spans="1:22">
      <c r="C16" s="266" t="s">
        <v>27</v>
      </c>
      <c r="T16" s="90"/>
    </row>
    <row r="17" spans="1:25">
      <c r="A17" s="287">
        <v>1</v>
      </c>
      <c r="C17" s="178" t="s">
        <v>27</v>
      </c>
      <c r="E17" s="288">
        <v>7</v>
      </c>
      <c r="F17" s="288"/>
      <c r="G17" s="97">
        <f>ROUND('Exhibit No.__(JAP-Res RD)'!C16/12,0)</f>
        <v>1030110</v>
      </c>
      <c r="I17" s="97">
        <f>'Exhibit No.__(JAP-Res RD)'!C23/1000</f>
        <v>10658082.710537091</v>
      </c>
      <c r="J17" s="97"/>
      <c r="L17" s="267">
        <f>'Exhibit No.__(JAP-Res RD)'!F23/1000</f>
        <v>1109622.487</v>
      </c>
      <c r="M17" s="267"/>
      <c r="N17" s="267">
        <f>ROUND('Exhibit No.__(JAP-Res RD)'!I23/1000,0)</f>
        <v>1193576</v>
      </c>
      <c r="O17" s="267"/>
      <c r="P17" s="267">
        <f>N17-L17</f>
        <v>83953.513000000035</v>
      </c>
      <c r="Q17" s="268">
        <f>P17/L17</f>
        <v>7.565952743710036E-2</v>
      </c>
      <c r="R17" s="268"/>
      <c r="S17" s="16">
        <f>N17/I17*100</f>
        <v>11.198787177922476</v>
      </c>
      <c r="T17" s="269"/>
      <c r="U17" s="267"/>
      <c r="V17" s="267"/>
      <c r="Y17" s="53"/>
    </row>
    <row r="18" spans="1:25">
      <c r="A18" s="17">
        <f>MAX(A$14:A17)+1</f>
        <v>2</v>
      </c>
      <c r="C18" s="270" t="s">
        <v>68</v>
      </c>
      <c r="G18" s="112">
        <f>SUM(G17:G17)</f>
        <v>1030110</v>
      </c>
      <c r="I18" s="112">
        <f>SUM(I17:I17)</f>
        <v>10658082.710537091</v>
      </c>
      <c r="J18" s="97"/>
      <c r="L18" s="271">
        <f>SUM(L17:L17)</f>
        <v>1109622.487</v>
      </c>
      <c r="M18" s="267"/>
      <c r="N18" s="271">
        <f>SUM(N17:N17)</f>
        <v>1193576</v>
      </c>
      <c r="O18" s="267"/>
      <c r="P18" s="271">
        <f>SUM(P17)</f>
        <v>83953.513000000035</v>
      </c>
      <c r="Q18" s="272">
        <f>P18/L18</f>
        <v>7.565952743710036E-2</v>
      </c>
      <c r="R18" s="268"/>
      <c r="S18" s="44">
        <f>N18/I18*100</f>
        <v>11.198787177922476</v>
      </c>
      <c r="T18" s="269"/>
      <c r="U18" s="273">
        <f>'Exhibit No.__(JAP-Rate Spread)'!J8</f>
        <v>83951.907149634499</v>
      </c>
      <c r="V18" s="273">
        <f>U18-P18</f>
        <v>-1.6058503655367531</v>
      </c>
      <c r="Y18" s="53"/>
    </row>
    <row r="19" spans="1:25">
      <c r="I19" s="178" t="s">
        <v>0</v>
      </c>
      <c r="J19" s="178" t="s">
        <v>0</v>
      </c>
      <c r="L19" s="53"/>
      <c r="M19" s="53"/>
      <c r="N19" s="53"/>
      <c r="O19" s="53"/>
      <c r="P19" s="53"/>
      <c r="Q19" s="98"/>
      <c r="T19" s="90"/>
      <c r="U19" s="175"/>
      <c r="V19" s="175"/>
    </row>
    <row r="20" spans="1:25">
      <c r="C20" s="274" t="s">
        <v>61</v>
      </c>
      <c r="G20" s="185"/>
      <c r="L20" s="53"/>
      <c r="M20" s="53"/>
      <c r="N20" s="53"/>
      <c r="O20" s="53"/>
      <c r="P20" s="53"/>
      <c r="Q20" s="98"/>
      <c r="T20" s="90"/>
      <c r="U20" s="175"/>
      <c r="V20" s="175"/>
    </row>
    <row r="21" spans="1:25">
      <c r="A21" s="17">
        <f>MAX(A$14:A20)+1</f>
        <v>3</v>
      </c>
      <c r="C21" s="291" t="s">
        <v>53</v>
      </c>
      <c r="E21" s="288" t="s">
        <v>64</v>
      </c>
      <c r="F21" s="287"/>
      <c r="G21" s="97">
        <f>'Exhibit No.__(JAP-SV RD)'!C17/12</f>
        <v>130674.58333333333</v>
      </c>
      <c r="I21" s="97">
        <f>'Exhibit No.__(JAP-SV RD)'!C25/1000</f>
        <v>2700716.8408001168</v>
      </c>
      <c r="J21" s="97"/>
      <c r="L21" s="267">
        <f>'Exhibit No.__(JAP-SV RD)'!F25/1000</f>
        <v>263446.49300000002</v>
      </c>
      <c r="M21" s="267"/>
      <c r="N21" s="267">
        <f>ROUND('Exhibit No.__(JAP-SV RD)'!I25/1000,0)</f>
        <v>283378</v>
      </c>
      <c r="O21" s="267"/>
      <c r="P21" s="267">
        <f t="shared" ref="P21:P24" si="0">N21-L21</f>
        <v>19931.506999999983</v>
      </c>
      <c r="Q21" s="268">
        <f>P21/L21</f>
        <v>7.5656755848330773E-2</v>
      </c>
      <c r="R21" s="268"/>
      <c r="S21" s="16">
        <f>N21/I21*100</f>
        <v>10.492695706523834</v>
      </c>
      <c r="T21" s="269"/>
      <c r="U21" s="275"/>
      <c r="V21" s="275"/>
      <c r="Y21" s="53"/>
    </row>
    <row r="22" spans="1:25">
      <c r="A22" s="17">
        <f>MAX(A$14:A21)+1</f>
        <v>4</v>
      </c>
      <c r="C22" s="291" t="s">
        <v>52</v>
      </c>
      <c r="D22" s="18"/>
      <c r="E22" s="288" t="s">
        <v>65</v>
      </c>
      <c r="F22" s="287"/>
      <c r="G22" s="97">
        <f>'Exhibit No.__(JAP-SV RD)'!C31/12</f>
        <v>7793.666666666667</v>
      </c>
      <c r="I22" s="97">
        <f>'Exhibit No.__(JAP-SV RD)'!C39/1000</f>
        <v>2988049.5563074257</v>
      </c>
      <c r="J22" s="97">
        <f>'Exhibit No.__(JAP-SV RD)'!C43/1000</f>
        <v>4639.3969999999999</v>
      </c>
      <c r="L22" s="267">
        <f>'Exhibit No.__(JAP-SV RD)'!F47/1000</f>
        <v>269302.29800000001</v>
      </c>
      <c r="M22" s="267"/>
      <c r="N22" s="267">
        <f>ROUND('Exhibit No.__(JAP-SV RD)'!I47/1000,0)</f>
        <v>284584</v>
      </c>
      <c r="O22" s="267"/>
      <c r="P22" s="267">
        <f t="shared" si="0"/>
        <v>15281.70199999999</v>
      </c>
      <c r="Q22" s="268">
        <f>P22/L22</f>
        <v>5.6745531373074247E-2</v>
      </c>
      <c r="R22" s="268"/>
      <c r="S22" s="16">
        <f>N22/I22*100</f>
        <v>9.5240722965680487</v>
      </c>
      <c r="T22" s="269"/>
      <c r="U22" s="275"/>
      <c r="V22" s="275"/>
      <c r="Y22" s="53"/>
    </row>
    <row r="23" spans="1:25">
      <c r="A23" s="17">
        <f>MAX(A$14:A22)+1</f>
        <v>5</v>
      </c>
      <c r="C23" s="291" t="s">
        <v>54</v>
      </c>
      <c r="E23" s="288" t="s">
        <v>66</v>
      </c>
      <c r="F23" s="287"/>
      <c r="G23" s="97">
        <f>SUM('Exhibit No.__(JAP-SV RD)'!C65,'Exhibit No.__(JAP-SV RD)'!C85)</f>
        <v>10394</v>
      </c>
      <c r="I23" s="97">
        <f>SUM('Exhibit No.__(JAP-SV RD)'!C71,'Exhibit No.__(JAP-SV RD)'!C94)/1000</f>
        <v>1939505.2731896485</v>
      </c>
      <c r="J23" s="97">
        <f>'Exhibit No.__(JAP-SV RD)'!C75/1000+'Exhibit No.__(JAP-SV RD)'!C99/1000</f>
        <v>4774.6639999999998</v>
      </c>
      <c r="L23" s="267">
        <f>SUM('Exhibit No.__(JAP-SV RD)'!F79,'Exhibit No.__(JAP-SV RD)'!F105)/1000</f>
        <v>160178.13800000001</v>
      </c>
      <c r="M23" s="267"/>
      <c r="N23" s="267">
        <f>SUM('Exhibit No.__(JAP-SV RD)'!I79,'Exhibit No.__(JAP-SV RD)'!I105)/1000</f>
        <v>169266.64300000001</v>
      </c>
      <c r="O23" s="267"/>
      <c r="P23" s="267">
        <f t="shared" si="0"/>
        <v>9088.5050000000047</v>
      </c>
      <c r="Q23" s="268">
        <f t="shared" ref="Q23:Q31" si="1">P23/L23</f>
        <v>5.6739984079475343E-2</v>
      </c>
      <c r="R23" s="268"/>
      <c r="S23" s="16">
        <f>N23/I23*100</f>
        <v>8.7273102754513001</v>
      </c>
      <c r="T23" s="269"/>
      <c r="U23" s="275"/>
      <c r="V23" s="275"/>
      <c r="Y23" s="53"/>
    </row>
    <row r="24" spans="1:25">
      <c r="A24" s="17">
        <f>MAX(A$14:A23)+1</f>
        <v>6</v>
      </c>
      <c r="C24" s="291" t="s">
        <v>56</v>
      </c>
      <c r="E24" s="287">
        <v>29</v>
      </c>
      <c r="F24" s="287"/>
      <c r="G24" s="97">
        <f>'Exhibit No.__(JAP-SV RD)'!C118/12</f>
        <v>658.83333333333337</v>
      </c>
      <c r="I24" s="97">
        <f>'Exhibit No.__(JAP-SV RD)'!C128/1000</f>
        <v>16475.530158172358</v>
      </c>
      <c r="J24" s="97">
        <f>'Exhibit No.__(JAP-SV RD)'!C132/1000</f>
        <v>5.7590000000000003</v>
      </c>
      <c r="L24" s="267">
        <f>SUM('Exhibit No.__(JAP-SV RD)'!F136/1000)</f>
        <v>1290.5440000000001</v>
      </c>
      <c r="M24" s="267"/>
      <c r="N24" s="267">
        <f>SUM('Exhibit No.__(JAP-SV RD)'!I136/1000)</f>
        <v>1363.7449999999999</v>
      </c>
      <c r="O24" s="267"/>
      <c r="P24" s="267">
        <f t="shared" si="0"/>
        <v>73.200999999999794</v>
      </c>
      <c r="Q24" s="268">
        <f t="shared" si="1"/>
        <v>5.6721041669249392E-2</v>
      </c>
      <c r="R24" s="268"/>
      <c r="S24" s="16">
        <f>N24/I24*100</f>
        <v>8.2773967630021392</v>
      </c>
      <c r="T24" s="269"/>
      <c r="U24" s="275"/>
      <c r="V24" s="275"/>
      <c r="Y24" s="53"/>
    </row>
    <row r="25" spans="1:25">
      <c r="A25" s="17">
        <f>MAX(A$14:A24)+1</f>
        <v>7</v>
      </c>
      <c r="C25" s="270" t="s">
        <v>69</v>
      </c>
      <c r="E25" s="287"/>
      <c r="F25" s="287"/>
      <c r="G25" s="112">
        <f>SUM(G21:G24)</f>
        <v>149521.08333333334</v>
      </c>
      <c r="I25" s="112">
        <f>SUM(I21:I24)</f>
        <v>7644747.2004553629</v>
      </c>
      <c r="J25" s="97"/>
      <c r="L25" s="271">
        <f>SUM(L21:L24)</f>
        <v>694217.473</v>
      </c>
      <c r="M25" s="267"/>
      <c r="N25" s="271">
        <f>SUM(N21:N24)</f>
        <v>738592.38800000004</v>
      </c>
      <c r="O25" s="267"/>
      <c r="P25" s="271">
        <f>SUM(P21:P24)</f>
        <v>44374.914999999979</v>
      </c>
      <c r="Q25" s="272">
        <f t="shared" ref="Q25" si="2">P25/L25</f>
        <v>6.3920769392677004E-2</v>
      </c>
      <c r="R25" s="268"/>
      <c r="S25" s="44">
        <f>N25/I25*100</f>
        <v>9.6614363906762737</v>
      </c>
      <c r="T25" s="269"/>
      <c r="U25" s="273">
        <f>'Exhibit No.__(JAP-Rate Spread)'!J14</f>
        <v>44375.334929581892</v>
      </c>
      <c r="V25" s="273">
        <f>U25-P25</f>
        <v>0.41992958191258367</v>
      </c>
      <c r="Y25" s="53"/>
    </row>
    <row r="26" spans="1:25">
      <c r="A26" s="17"/>
      <c r="C26" s="291"/>
      <c r="E26" s="287"/>
      <c r="F26" s="287"/>
      <c r="G26" s="97"/>
      <c r="I26" s="97"/>
      <c r="J26" s="97"/>
      <c r="L26" s="267"/>
      <c r="M26" s="267"/>
      <c r="N26" s="267"/>
      <c r="O26" s="267"/>
      <c r="P26" s="267"/>
      <c r="Q26" s="268"/>
      <c r="R26" s="268"/>
      <c r="S26" s="16"/>
      <c r="T26" s="269"/>
      <c r="U26" s="275"/>
      <c r="V26" s="275"/>
    </row>
    <row r="27" spans="1:25">
      <c r="A27" s="17"/>
      <c r="C27" s="274" t="s">
        <v>62</v>
      </c>
      <c r="E27" s="287"/>
      <c r="F27" s="287"/>
      <c r="G27" s="97"/>
      <c r="I27" s="97"/>
      <c r="J27" s="97"/>
      <c r="L27" s="267"/>
      <c r="M27" s="267"/>
      <c r="N27" s="267"/>
      <c r="O27" s="267"/>
      <c r="P27" s="267"/>
      <c r="Q27" s="268"/>
      <c r="R27" s="268"/>
      <c r="S27" s="16"/>
      <c r="T27" s="269"/>
      <c r="U27" s="275"/>
      <c r="V27" s="275"/>
    </row>
    <row r="28" spans="1:25">
      <c r="A28" s="17">
        <f>MAX(A$14:A26)+1</f>
        <v>8</v>
      </c>
      <c r="C28" s="291" t="s">
        <v>55</v>
      </c>
      <c r="E28" s="288" t="s">
        <v>67</v>
      </c>
      <c r="F28" s="287"/>
      <c r="G28" s="97">
        <f>'Exhibit No.__(JAP-PV RD)'!C15/12</f>
        <v>495.16666666666669</v>
      </c>
      <c r="I28" s="97">
        <f>'Exhibit No.__(JAP-PV RD)'!C21/1000</f>
        <v>1407595.3481703061</v>
      </c>
      <c r="J28" s="97">
        <f>'Exhibit No.__(JAP-PV RD)'!C25/1000</f>
        <v>3463.8150000000001</v>
      </c>
      <c r="L28" s="267">
        <f>'Exhibit No.__(JAP-PV RD)'!F29/1000</f>
        <v>113234.14599999999</v>
      </c>
      <c r="M28" s="267"/>
      <c r="N28" s="267">
        <f>'Exhibit No.__(JAP-PV RD)'!I29/1000</f>
        <v>121801.617</v>
      </c>
      <c r="O28" s="267"/>
      <c r="P28" s="267">
        <f t="shared" ref="P28:P30" si="3">N28-L28</f>
        <v>8567.471000000005</v>
      </c>
      <c r="Q28" s="268">
        <f t="shared" si="1"/>
        <v>7.5661550006302924E-2</v>
      </c>
      <c r="R28" s="268"/>
      <c r="S28" s="16">
        <f>N28/I28*100</f>
        <v>8.6531699013019985</v>
      </c>
      <c r="T28" s="269"/>
      <c r="U28" s="275"/>
      <c r="V28" s="275"/>
      <c r="Y28" s="53"/>
    </row>
    <row r="29" spans="1:25">
      <c r="A29" s="17">
        <f>MAX(A$14:A28)+1</f>
        <v>9</v>
      </c>
      <c r="C29" s="291" t="s">
        <v>57</v>
      </c>
      <c r="E29" s="287">
        <v>35</v>
      </c>
      <c r="F29" s="287"/>
      <c r="G29" s="97">
        <f>'Exhibit No.__(JAP-PV RD)'!C37/12</f>
        <v>3.25</v>
      </c>
      <c r="I29" s="97">
        <f>'Exhibit No.__(JAP-PV RD)'!C43/1000</f>
        <v>4443.66</v>
      </c>
      <c r="J29" s="97">
        <f>'Exhibit No.__(JAP-PV RD)'!C47/1000</f>
        <v>9.0990000000000002</v>
      </c>
      <c r="L29" s="267">
        <f>'Exhibit No.__(JAP-PV RD)'!F51/1000</f>
        <v>268.01499999999999</v>
      </c>
      <c r="M29" s="267"/>
      <c r="N29" s="267">
        <f>'Exhibit No.__(JAP-PV RD)'!I51/1000</f>
        <v>298.43</v>
      </c>
      <c r="O29" s="267"/>
      <c r="P29" s="267">
        <f t="shared" si="3"/>
        <v>30.41500000000002</v>
      </c>
      <c r="Q29" s="268">
        <f t="shared" si="1"/>
        <v>0.11348245434024223</v>
      </c>
      <c r="R29" s="268"/>
      <c r="S29" s="16">
        <f>N29/I29*100</f>
        <v>6.7158603493516615</v>
      </c>
      <c r="T29" s="269"/>
      <c r="U29" s="275"/>
      <c r="V29" s="275"/>
      <c r="Y29" s="53"/>
    </row>
    <row r="30" spans="1:25">
      <c r="A30" s="17">
        <f>MAX(A$14:A29)+1</f>
        <v>10</v>
      </c>
      <c r="C30" s="178" t="s">
        <v>58</v>
      </c>
      <c r="E30" s="288">
        <v>43</v>
      </c>
      <c r="F30" s="287"/>
      <c r="G30" s="97">
        <f>'Exhibit No.__(JAP-PV RD)'!C60/12</f>
        <v>156.16666666666666</v>
      </c>
      <c r="I30" s="97">
        <f>'Exhibit No.__(JAP-PV RD)'!C66/1000</f>
        <v>123102.08801083639</v>
      </c>
      <c r="J30" s="97">
        <f>'Exhibit No.__(JAP-PV RD)'!C69/1000</f>
        <v>602.303</v>
      </c>
      <c r="L30" s="267">
        <f>'Exhibit No.__(JAP-PV RD)'!F75/1000</f>
        <v>10721.509</v>
      </c>
      <c r="M30" s="267"/>
      <c r="N30" s="267">
        <f>'Exhibit No.__(JAP-PV RD)'!I75/1000</f>
        <v>11735.416999999999</v>
      </c>
      <c r="O30" s="267"/>
      <c r="P30" s="267">
        <f t="shared" si="3"/>
        <v>1013.9079999999994</v>
      </c>
      <c r="Q30" s="268">
        <f t="shared" si="1"/>
        <v>9.4567658339884758E-2</v>
      </c>
      <c r="R30" s="268"/>
      <c r="S30" s="16">
        <f>N30/I30*100</f>
        <v>9.5330771310450544</v>
      </c>
      <c r="T30" s="269"/>
      <c r="U30" s="275"/>
      <c r="V30" s="275"/>
      <c r="Y30" s="53"/>
    </row>
    <row r="31" spans="1:25">
      <c r="A31" s="17">
        <f>MAX(A$14:A30)+1</f>
        <v>11</v>
      </c>
      <c r="C31" s="270" t="s">
        <v>70</v>
      </c>
      <c r="E31" s="287"/>
      <c r="F31" s="287"/>
      <c r="G31" s="112">
        <f>SUM(G28:G30)</f>
        <v>654.58333333333337</v>
      </c>
      <c r="I31" s="112">
        <f>SUM(I28:I30)</f>
        <v>1535141.0961811424</v>
      </c>
      <c r="J31" s="97"/>
      <c r="L31" s="271">
        <f>SUM(L28:L30)</f>
        <v>124223.67</v>
      </c>
      <c r="M31" s="267"/>
      <c r="N31" s="271">
        <f>SUM(N28:N30)</f>
        <v>133835.46399999998</v>
      </c>
      <c r="O31" s="267"/>
      <c r="P31" s="271">
        <f>SUM(P28:P30)</f>
        <v>9611.7940000000053</v>
      </c>
      <c r="Q31" s="272">
        <f t="shared" si="1"/>
        <v>7.7374899646742087E-2</v>
      </c>
      <c r="R31" s="268"/>
      <c r="S31" s="44">
        <f>N31/I31*100</f>
        <v>8.7181213722264754</v>
      </c>
      <c r="T31" s="269"/>
      <c r="U31" s="273">
        <f>'Exhibit No.__(JAP-Rate Spread)'!J20</f>
        <v>9611.4553389022858</v>
      </c>
      <c r="V31" s="273">
        <f>U31-P31</f>
        <v>-0.33866109771952324</v>
      </c>
      <c r="Y31" s="53"/>
    </row>
    <row r="32" spans="1:25">
      <c r="A32" s="17"/>
      <c r="E32" s="288"/>
      <c r="F32" s="287"/>
      <c r="G32" s="97"/>
      <c r="I32" s="97"/>
      <c r="J32" s="97"/>
      <c r="L32" s="267"/>
      <c r="M32" s="267"/>
      <c r="N32" s="267"/>
      <c r="O32" s="267"/>
      <c r="P32" s="267"/>
      <c r="Q32" s="268"/>
      <c r="R32" s="268"/>
      <c r="S32" s="16"/>
      <c r="T32" s="269"/>
      <c r="U32" s="275"/>
      <c r="V32" s="275"/>
      <c r="Y32" s="53"/>
    </row>
    <row r="33" spans="1:25">
      <c r="A33" s="17"/>
      <c r="C33" s="274" t="s">
        <v>63</v>
      </c>
      <c r="E33" s="288"/>
      <c r="F33" s="287"/>
      <c r="G33" s="97"/>
      <c r="I33" s="97"/>
      <c r="J33" s="97"/>
      <c r="L33" s="267"/>
      <c r="M33" s="267"/>
      <c r="N33" s="267"/>
      <c r="O33" s="267"/>
      <c r="P33" s="267"/>
      <c r="Q33" s="268"/>
      <c r="R33" s="268"/>
      <c r="S33" s="16"/>
      <c r="T33" s="269"/>
      <c r="U33" s="275"/>
      <c r="V33" s="275"/>
    </row>
    <row r="34" spans="1:25">
      <c r="A34" s="17">
        <f>MAX(A$14:A32)+1</f>
        <v>12</v>
      </c>
      <c r="C34" s="291" t="s">
        <v>59</v>
      </c>
      <c r="E34" s="288">
        <v>46</v>
      </c>
      <c r="F34" s="287"/>
      <c r="G34" s="97">
        <f>'Exhibit No.__(JAP-HV RD)'!C14/12</f>
        <v>6</v>
      </c>
      <c r="I34" s="97">
        <f>'Exhibit No.__(JAP-HV RD)'!C18/1000</f>
        <v>78351.491999999998</v>
      </c>
      <c r="J34" s="97">
        <f>'Exhibit No.__(JAP-HV RD)'!C20/1000</f>
        <v>397.464</v>
      </c>
      <c r="L34" s="267">
        <f>'Exhibit No.__(JAP-HV RD)'!F22/1000</f>
        <v>5190.4359999999997</v>
      </c>
      <c r="M34" s="267"/>
      <c r="N34" s="267">
        <f>'Exhibit No.__(JAP-HV RD)'!I22/1000</f>
        <v>5486.0649999999996</v>
      </c>
      <c r="O34" s="267"/>
      <c r="P34" s="267">
        <f t="shared" ref="P34:P35" si="4">N34-L34</f>
        <v>295.62899999999991</v>
      </c>
      <c r="Q34" s="268">
        <f t="shared" ref="Q34:Q35" si="5">P34/L34</f>
        <v>5.6956486892430602E-2</v>
      </c>
      <c r="R34" s="268"/>
      <c r="S34" s="16">
        <f t="shared" ref="S34:S35" si="6">N34/I34*100</f>
        <v>7.0018641125557624</v>
      </c>
      <c r="T34" s="269"/>
      <c r="U34" s="275"/>
      <c r="V34" s="275"/>
      <c r="Y34" s="53"/>
    </row>
    <row r="35" spans="1:25">
      <c r="A35" s="17">
        <f>MAX(A$14:A34)+1</f>
        <v>13</v>
      </c>
      <c r="C35" s="178" t="s">
        <v>60</v>
      </c>
      <c r="E35" s="288">
        <v>49</v>
      </c>
      <c r="F35" s="287"/>
      <c r="G35" s="97">
        <f>'Exhibit No.__(JAP-HV RD)'!C29/12</f>
        <v>19</v>
      </c>
      <c r="I35" s="97">
        <f>'Exhibit No.__(JAP-HV RD)'!C33/1000</f>
        <v>542259.32140199991</v>
      </c>
      <c r="J35" s="97">
        <f>'Exhibit No.__(JAP-HV RD)'!C35/1000</f>
        <v>1344.134</v>
      </c>
      <c r="L35" s="267">
        <f>'Exhibit No.__(JAP-HV RD)'!F37/1000</f>
        <v>34937.811999999998</v>
      </c>
      <c r="M35" s="267"/>
      <c r="N35" s="267">
        <f>'Exhibit No.__(JAP-HV RD)'!I37/1000</f>
        <v>36919.502999999997</v>
      </c>
      <c r="O35" s="267"/>
      <c r="P35" s="267">
        <f t="shared" si="4"/>
        <v>1981.6909999999989</v>
      </c>
      <c r="Q35" s="268">
        <f t="shared" si="5"/>
        <v>5.6720523883979884E-2</v>
      </c>
      <c r="R35" s="268"/>
      <c r="S35" s="16">
        <f t="shared" si="6"/>
        <v>6.8084588946383455</v>
      </c>
      <c r="T35" s="269"/>
      <c r="U35" s="275"/>
      <c r="V35" s="275"/>
      <c r="Y35" s="53"/>
    </row>
    <row r="36" spans="1:25">
      <c r="A36" s="17">
        <f>MAX(A$14:A35)+1</f>
        <v>14</v>
      </c>
      <c r="C36" s="270" t="s">
        <v>63</v>
      </c>
      <c r="E36" s="287"/>
      <c r="F36" s="287"/>
      <c r="G36" s="112">
        <f>SUM(G34:G35)</f>
        <v>25</v>
      </c>
      <c r="I36" s="112">
        <f>SUM(I34:I35)</f>
        <v>620610.81340199988</v>
      </c>
      <c r="J36" s="97"/>
      <c r="L36" s="271">
        <f>SUM(L34:L35)</f>
        <v>40128.248</v>
      </c>
      <c r="M36" s="267"/>
      <c r="N36" s="271">
        <f>SUM(N34:N35)</f>
        <v>42405.567999999999</v>
      </c>
      <c r="O36" s="267"/>
      <c r="P36" s="271">
        <f>SUM(P34:P35)</f>
        <v>2277.3199999999988</v>
      </c>
      <c r="Q36" s="272">
        <f t="shared" ref="Q36" si="7">P36/L36</f>
        <v>5.6751044800161694E-2</v>
      </c>
      <c r="R36" s="268"/>
      <c r="S36" s="44">
        <f>N36/I36*100</f>
        <v>6.8328761091908081</v>
      </c>
      <c r="T36" s="269"/>
      <c r="U36" s="273">
        <f>'Exhibit No.__(JAP-Rate Spread)'!J22</f>
        <v>2277.0196550911551</v>
      </c>
      <c r="V36" s="273">
        <f>U36-P36</f>
        <v>-0.30034490884372644</v>
      </c>
      <c r="Y36" s="53"/>
    </row>
    <row r="37" spans="1:25">
      <c r="A37" s="17"/>
      <c r="E37" s="288"/>
      <c r="F37" s="287"/>
      <c r="G37" s="97"/>
      <c r="I37" s="97"/>
      <c r="J37" s="97"/>
      <c r="L37" s="267"/>
      <c r="M37" s="267"/>
      <c r="N37" s="267"/>
      <c r="O37" s="267"/>
      <c r="P37" s="267"/>
      <c r="Q37" s="268"/>
      <c r="R37" s="268"/>
      <c r="S37" s="16"/>
      <c r="T37" s="269"/>
      <c r="U37" s="275"/>
      <c r="V37" s="275"/>
      <c r="Y37" s="53"/>
    </row>
    <row r="38" spans="1:25">
      <c r="A38" s="17"/>
      <c r="C38" s="276" t="s">
        <v>584</v>
      </c>
      <c r="E38" s="288"/>
      <c r="F38" s="287"/>
      <c r="G38" s="97"/>
      <c r="I38" s="97"/>
      <c r="J38" s="97"/>
      <c r="L38" s="267"/>
      <c r="M38" s="267"/>
      <c r="N38" s="267"/>
      <c r="O38" s="267"/>
      <c r="P38" s="267"/>
      <c r="Q38" s="268"/>
      <c r="R38" s="268"/>
      <c r="S38" s="16"/>
      <c r="T38" s="269"/>
      <c r="U38" s="275"/>
      <c r="V38" s="275"/>
      <c r="Y38" s="53"/>
    </row>
    <row r="39" spans="1:25">
      <c r="A39" s="17">
        <f>MAX(A$14:A37)+1</f>
        <v>15</v>
      </c>
      <c r="C39" s="291" t="s">
        <v>583</v>
      </c>
      <c r="E39" s="288" t="s">
        <v>582</v>
      </c>
      <c r="F39" s="287"/>
      <c r="G39" s="97">
        <f>SUM('Exhibit No.__(JAP-TRANSP RD)'!C14)/12</f>
        <v>20</v>
      </c>
      <c r="I39" s="97">
        <f>SUM('Exhibit No.__(JAP-TRANSP RD)'!C19)/1000</f>
        <v>2028727.0061700002</v>
      </c>
      <c r="J39" s="97">
        <f>'Exhibit No.__(JAP-TRANSP RD)'!C21/1000</f>
        <v>3557.5250000000001</v>
      </c>
      <c r="L39" s="267">
        <f>SUM('Exhibit No.__(JAP-TRANSP RD)'!F25)/1000</f>
        <v>10114.356</v>
      </c>
      <c r="M39" s="267"/>
      <c r="N39" s="267">
        <f>SUM('Exhibit No.__(JAP-TRANSP RD)'!I25)/1000</f>
        <v>10227.156999999999</v>
      </c>
      <c r="O39" s="267"/>
      <c r="P39" s="267">
        <f>N39-L39</f>
        <v>112.80099999999948</v>
      </c>
      <c r="Q39" s="268">
        <f t="shared" ref="Q39" si="8">P39/L39</f>
        <v>1.1152563742071119E-2</v>
      </c>
      <c r="R39" s="268"/>
      <c r="S39" s="16">
        <f>N39/I39*100</f>
        <v>0.50411696442626253</v>
      </c>
      <c r="T39" s="269"/>
      <c r="U39" s="275"/>
      <c r="V39" s="275"/>
      <c r="Y39" s="53"/>
    </row>
    <row r="40" spans="1:25">
      <c r="A40" s="17">
        <f>MAX(A$14:A39)+1</f>
        <v>16</v>
      </c>
      <c r="C40" s="291" t="s">
        <v>580</v>
      </c>
      <c r="E40" s="288" t="s">
        <v>581</v>
      </c>
      <c r="F40" s="287"/>
      <c r="G40" s="97">
        <f>SUM('Exhibit No.__(JAP-TRANSP RD)'!C30)/12</f>
        <v>98.333333333333329</v>
      </c>
      <c r="I40" s="97">
        <f>SUM('Exhibit No.__(JAP-TRANSP RD)'!C39)/1000</f>
        <v>335987.76400000002</v>
      </c>
      <c r="J40" s="97">
        <f>'Exhibit No.__(JAP-TRANSP RD)'!C33/1000</f>
        <v>799.15800000000002</v>
      </c>
      <c r="L40" s="267">
        <f>SUM('Exhibit No.__(JAP-TRANSP RD)'!F41)/1000</f>
        <v>5493.9070000000002</v>
      </c>
      <c r="M40" s="267"/>
      <c r="N40" s="267">
        <f>SUM('Exhibit No.__(JAP-TRANSP RD)'!I41)/1000</f>
        <v>4353.1926800000001</v>
      </c>
      <c r="O40" s="267"/>
      <c r="P40" s="267">
        <f>N40-L40</f>
        <v>-1140.71432</v>
      </c>
      <c r="Q40" s="268">
        <f t="shared" ref="Q40:Q41" si="9">P40/L40</f>
        <v>-0.2076326228310745</v>
      </c>
      <c r="R40" s="268"/>
      <c r="S40" s="16">
        <f>N40/I40*100</f>
        <v>1.2956402424226376</v>
      </c>
      <c r="T40" s="269"/>
      <c r="U40" s="275"/>
      <c r="V40" s="275"/>
      <c r="Y40" s="53"/>
    </row>
    <row r="41" spans="1:25">
      <c r="A41" s="17">
        <f>MAX(A$14:A40)+1</f>
        <v>17</v>
      </c>
      <c r="C41" s="270" t="s">
        <v>584</v>
      </c>
      <c r="E41" s="288"/>
      <c r="F41" s="287"/>
      <c r="G41" s="112">
        <f>SUM(G39:G40)</f>
        <v>118.33333333333333</v>
      </c>
      <c r="I41" s="112">
        <f>SUM(I39:I40)</f>
        <v>2364714.7701700004</v>
      </c>
      <c r="J41" s="97"/>
      <c r="L41" s="271">
        <f>SUM(L39:L40)</f>
        <v>15608.262999999999</v>
      </c>
      <c r="M41" s="267"/>
      <c r="N41" s="271">
        <f>SUM(N39:N40)</f>
        <v>14580.349679999999</v>
      </c>
      <c r="O41" s="267"/>
      <c r="P41" s="271">
        <f>SUM(P39:P40)</f>
        <v>-1027.9133200000006</v>
      </c>
      <c r="Q41" s="272">
        <f t="shared" si="9"/>
        <v>-6.5856996387106029E-2</v>
      </c>
      <c r="R41" s="268"/>
      <c r="S41" s="44">
        <f>N41/I41*100</f>
        <v>0.61657963420898376</v>
      </c>
      <c r="T41" s="269"/>
      <c r="U41" s="273">
        <f>'Exhibit No.__(JAP-Rate Spread)'!J24</f>
        <v>-1027.9133200000003</v>
      </c>
      <c r="V41" s="273">
        <f>U41-P41</f>
        <v>0</v>
      </c>
      <c r="Y41" s="53"/>
    </row>
    <row r="42" spans="1:25">
      <c r="A42" s="17"/>
      <c r="E42" s="288"/>
      <c r="F42" s="287"/>
      <c r="G42" s="97"/>
      <c r="I42" s="97"/>
      <c r="J42" s="97"/>
      <c r="L42" s="267"/>
      <c r="M42" s="267"/>
      <c r="N42" s="267"/>
      <c r="O42" s="267"/>
      <c r="P42" s="267"/>
      <c r="Q42" s="268"/>
      <c r="R42" s="268"/>
      <c r="S42" s="16"/>
      <c r="T42" s="269"/>
      <c r="U42" s="275"/>
      <c r="V42" s="275"/>
      <c r="Y42" s="53"/>
    </row>
    <row r="43" spans="1:25">
      <c r="A43" s="17">
        <f>MAX(A$14:A41)+1</f>
        <v>18</v>
      </c>
      <c r="C43" s="178" t="s">
        <v>72</v>
      </c>
      <c r="E43" s="288" t="s">
        <v>73</v>
      </c>
      <c r="F43" s="287"/>
      <c r="G43" s="112">
        <f>'Exhibit No.__(JAP-LIGHT RD) '!C22/12</f>
        <v>7829.166666666667</v>
      </c>
      <c r="I43" s="112">
        <f>'Exhibit No.__(JAP-LIGHT RD) '!J22/1000</f>
        <v>69969.105296000009</v>
      </c>
      <c r="J43" s="97"/>
      <c r="L43" s="271">
        <f>'Exhibit No.__(JAP-LIGHT RD) '!F22/1000</f>
        <v>16457.504000000001</v>
      </c>
      <c r="M43" s="267"/>
      <c r="N43" s="271">
        <f>'Exhibit No.__(JAP-LIGHT RD) '!H22/1000</f>
        <v>18017.195</v>
      </c>
      <c r="O43" s="267"/>
      <c r="P43" s="271">
        <f>N43-L43</f>
        <v>1559.6909999999989</v>
      </c>
      <c r="Q43" s="272">
        <f t="shared" ref="Q43" si="10">P43/L43</f>
        <v>9.4770810932204477E-2</v>
      </c>
      <c r="R43" s="268"/>
      <c r="S43" s="44">
        <f>N43/I43*100</f>
        <v>25.750214932403896</v>
      </c>
      <c r="T43" s="269"/>
      <c r="U43" s="273">
        <f>'Exhibit No.__(JAP-Rate Spread)'!J26</f>
        <v>1556.4289475808209</v>
      </c>
      <c r="V43" s="273">
        <f>U43-P43</f>
        <v>-3.2620524191779623</v>
      </c>
      <c r="Y43" s="53"/>
    </row>
    <row r="44" spans="1:25">
      <c r="A44" s="17"/>
      <c r="E44" s="288"/>
      <c r="F44" s="287"/>
      <c r="G44" s="97"/>
      <c r="I44" s="97"/>
      <c r="J44" s="97"/>
      <c r="L44" s="267"/>
      <c r="M44" s="267"/>
      <c r="N44" s="267"/>
      <c r="O44" s="267"/>
      <c r="P44" s="267"/>
      <c r="Q44" s="268"/>
      <c r="R44" s="268"/>
      <c r="S44" s="16"/>
      <c r="T44" s="269"/>
      <c r="U44" s="275"/>
      <c r="V44" s="275"/>
      <c r="Y44" s="53"/>
    </row>
    <row r="45" spans="1:25">
      <c r="A45" s="17">
        <f>MAX(A$14:A44)+1</f>
        <v>19</v>
      </c>
      <c r="C45" s="270" t="s">
        <v>74</v>
      </c>
      <c r="G45" s="112">
        <f>SUM(G43,G41,G36,G31,G25,G18)</f>
        <v>1188258.1666666667</v>
      </c>
      <c r="I45" s="112">
        <f>SUM(I43,I41,I36,I31,I25,I18)</f>
        <v>22893265.696041595</v>
      </c>
      <c r="J45" s="97"/>
      <c r="L45" s="271">
        <f>SUM(L43,L41,L36,L31,L25,L18)</f>
        <v>2000257.645</v>
      </c>
      <c r="M45" s="267"/>
      <c r="N45" s="271">
        <f>SUM(N43,N41,N36,N31,N25,N18)</f>
        <v>2141006.9646800002</v>
      </c>
      <c r="O45" s="267"/>
      <c r="P45" s="271">
        <f>SUM(P43,P41,P36,P31,P25,P18)</f>
        <v>140749.31968000002</v>
      </c>
      <c r="Q45" s="272">
        <f>P45/L45</f>
        <v>7.0365595168116468E-2</v>
      </c>
      <c r="R45" s="268"/>
      <c r="S45" s="44">
        <f>N45/I45*100</f>
        <v>9.3521256124249472</v>
      </c>
      <c r="T45" s="269"/>
      <c r="U45" s="271">
        <f>SUM(U43,U41,U36,U31,U25,U18)</f>
        <v>140744.23270079066</v>
      </c>
      <c r="V45" s="273">
        <f>U45-P45</f>
        <v>-5.0869792093581054</v>
      </c>
      <c r="Y45" s="53"/>
    </row>
    <row r="46" spans="1:25">
      <c r="A46" s="287"/>
      <c r="L46" s="53"/>
      <c r="M46" s="53"/>
      <c r="N46" s="53"/>
      <c r="O46" s="53"/>
      <c r="P46" s="53"/>
      <c r="Q46" s="98"/>
      <c r="T46" s="90"/>
      <c r="U46" s="175"/>
      <c r="V46" s="175"/>
      <c r="Y46" s="53"/>
    </row>
    <row r="47" spans="1:25">
      <c r="A47" s="17">
        <f>MAX(A$14:A46)+1</f>
        <v>20</v>
      </c>
      <c r="C47" s="178" t="s">
        <v>75</v>
      </c>
      <c r="E47" s="288" t="s">
        <v>585</v>
      </c>
      <c r="F47" s="287"/>
      <c r="G47" s="112">
        <f>'Exhibit No.__(JAP-TRANSP RD)'!C45/12</f>
        <v>8</v>
      </c>
      <c r="I47" s="112">
        <f>'Exhibit No.__(JAP-TRANSP RD)'!C50/1000</f>
        <v>7197.5754843382783</v>
      </c>
      <c r="J47" s="185">
        <f>'Exhibit No.__(JAP-TRANSP RD)'!C52/1000</f>
        <v>14.252000000000001</v>
      </c>
      <c r="L47" s="271">
        <f>'Exhibit No.__(JAP-TRANSP RD)'!F58/1000</f>
        <v>328.327</v>
      </c>
      <c r="M47" s="53"/>
      <c r="N47" s="271">
        <f>'Exhibit No.__(JAP-TRANSP RD)'!I58/1000</f>
        <v>690.54429920936445</v>
      </c>
      <c r="O47" s="267"/>
      <c r="P47" s="271">
        <f>N47-L47</f>
        <v>362.21729920936446</v>
      </c>
      <c r="Q47" s="272">
        <f t="shared" ref="Q47" si="11">P47/L47</f>
        <v>1.1032211764776105</v>
      </c>
      <c r="R47" s="268"/>
      <c r="S47" s="44">
        <f>N47/I47*100</f>
        <v>9.5941237533662473</v>
      </c>
      <c r="T47" s="90"/>
      <c r="U47" s="273">
        <f>'Exhibit No.__(JAP-Rate Spread)'!J30</f>
        <v>362.21729920936446</v>
      </c>
      <c r="V47" s="273">
        <f>U47-P47</f>
        <v>0</v>
      </c>
      <c r="Y47" s="53"/>
    </row>
    <row r="48" spans="1:25">
      <c r="A48" s="287"/>
      <c r="L48" s="53"/>
      <c r="M48" s="53"/>
      <c r="N48" s="53"/>
      <c r="O48" s="53"/>
      <c r="P48" s="53"/>
      <c r="Q48" s="98"/>
      <c r="T48" s="90"/>
      <c r="U48" s="175"/>
      <c r="V48" s="175"/>
      <c r="Y48" s="53"/>
    </row>
    <row r="49" spans="1:25" ht="16.5" thickBot="1">
      <c r="A49" s="17">
        <f>MAX(A$14:A48)+1</f>
        <v>21</v>
      </c>
      <c r="C49" s="277" t="s">
        <v>76</v>
      </c>
      <c r="G49" s="19">
        <f>G47+G45</f>
        <v>1188266.1666666667</v>
      </c>
      <c r="I49" s="19">
        <f>I47+I45</f>
        <v>22900463.271525934</v>
      </c>
      <c r="L49" s="50">
        <f>L47+L45</f>
        <v>2000585.9720000001</v>
      </c>
      <c r="M49" s="278"/>
      <c r="N49" s="50">
        <f>N47+N45</f>
        <v>2141697.5089792097</v>
      </c>
      <c r="O49" s="54"/>
      <c r="P49" s="50">
        <f>P47+P45</f>
        <v>141111.53697920937</v>
      </c>
      <c r="Q49" s="279">
        <f>P49/L49</f>
        <v>7.0535102692007356E-2</v>
      </c>
      <c r="R49" s="269"/>
      <c r="S49" s="280">
        <f>N49/I49*100</f>
        <v>9.3522016720166601</v>
      </c>
      <c r="T49" s="269"/>
      <c r="U49" s="190">
        <f t="shared" ref="U49:V49" si="12">U47+U45</f>
        <v>141106.45000000001</v>
      </c>
      <c r="V49" s="190">
        <f t="shared" si="12"/>
        <v>-5.0869792093581054</v>
      </c>
      <c r="Y49" s="53"/>
    </row>
    <row r="50" spans="1:25" ht="16.5" thickTop="1">
      <c r="A50" s="329" t="s">
        <v>0</v>
      </c>
      <c r="B50" s="330"/>
      <c r="C50" s="330"/>
      <c r="G50" s="20"/>
      <c r="I50" s="20"/>
      <c r="L50" s="21"/>
      <c r="M50" s="269"/>
      <c r="N50" s="21"/>
      <c r="O50" s="21"/>
      <c r="P50" s="21"/>
      <c r="Q50" s="98"/>
      <c r="R50" s="269"/>
      <c r="S50" s="269"/>
      <c r="T50" s="269"/>
      <c r="Y50" s="53"/>
    </row>
    <row r="51" spans="1:25" ht="18.75" customHeight="1" thickBot="1">
      <c r="C51" s="178" t="s">
        <v>272</v>
      </c>
      <c r="I51" s="19">
        <v>22900463.273525931</v>
      </c>
      <c r="L51" s="50">
        <v>2000585.606391351</v>
      </c>
      <c r="P51" s="21" t="s">
        <v>0</v>
      </c>
      <c r="Q51" s="281" t="s">
        <v>0</v>
      </c>
      <c r="Y51" s="53"/>
    </row>
    <row r="52" spans="1:25" ht="17.25" thickTop="1" thickBot="1">
      <c r="C52" s="178" t="s">
        <v>272</v>
      </c>
      <c r="I52" s="19">
        <f>I51-I49</f>
        <v>1.9999966025352478E-3</v>
      </c>
      <c r="L52" s="50">
        <f>L51-L49</f>
        <v>-0.36560864909552038</v>
      </c>
      <c r="M52" s="90"/>
      <c r="N52" s="51"/>
      <c r="P52" s="51"/>
      <c r="Q52" s="180"/>
      <c r="R52" s="90"/>
      <c r="S52" s="90"/>
      <c r="T52" s="90"/>
      <c r="Y52" s="53"/>
    </row>
    <row r="53" spans="1:25" ht="16.5" thickTop="1">
      <c r="I53" s="185"/>
      <c r="J53" s="185"/>
      <c r="L53" s="175"/>
      <c r="M53" s="90"/>
      <c r="N53" s="175"/>
      <c r="P53" s="175"/>
      <c r="R53" s="90"/>
      <c r="S53" s="21"/>
      <c r="T53" s="90"/>
    </row>
    <row r="54" spans="1:25">
      <c r="L54" s="53"/>
      <c r="N54" s="53"/>
      <c r="P54" s="53"/>
      <c r="Q54" s="281"/>
    </row>
    <row r="55" spans="1:25">
      <c r="N55" s="90"/>
      <c r="P55" s="22"/>
      <c r="Q55" s="23"/>
    </row>
    <row r="56" spans="1:25">
      <c r="N56" s="15"/>
      <c r="P56" s="22"/>
      <c r="Q56" s="25"/>
    </row>
    <row r="57" spans="1:25">
      <c r="N57" s="24"/>
      <c r="Q57" s="25"/>
    </row>
    <row r="58" spans="1:25">
      <c r="Q58" s="25"/>
    </row>
    <row r="60" spans="1:25">
      <c r="N60" s="15"/>
    </row>
  </sheetData>
  <mergeCells count="11">
    <mergeCell ref="U11:U13"/>
    <mergeCell ref="V11:V13"/>
    <mergeCell ref="N9:Q9"/>
    <mergeCell ref="N10:Q10"/>
    <mergeCell ref="A50:C50"/>
    <mergeCell ref="A7:R7"/>
    <mergeCell ref="A2:R2"/>
    <mergeCell ref="A3:R3"/>
    <mergeCell ref="A4:R4"/>
    <mergeCell ref="A5:R5"/>
    <mergeCell ref="A6:R6"/>
  </mergeCells>
  <printOptions horizontalCentered="1"/>
  <pageMargins left="0.7" right="0.7" top="0.75" bottom="0.77" header="0.3" footer="0.3"/>
  <pageSetup scale="63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F34"/>
  <sheetViews>
    <sheetView zoomScale="80" zoomScaleNormal="80" zoomScaleSheetLayoutView="80" workbookViewId="0">
      <pane ySplit="10" topLeftCell="A11" activePane="bottomLeft" state="frozen"/>
      <selection activeCellId="1" sqref="A1:J1 A1:XFD1048576"/>
      <selection pane="bottomLeft" activeCell="A11" sqref="A11"/>
    </sheetView>
  </sheetViews>
  <sheetFormatPr defaultColWidth="10.25" defaultRowHeight="15.75"/>
  <cols>
    <col min="1" max="1" width="22.375" style="178" bestFit="1" customWidth="1"/>
    <col min="2" max="2" width="1.375" style="178" bestFit="1" customWidth="1"/>
    <col min="3" max="3" width="14.25" style="178" bestFit="1" customWidth="1"/>
    <col min="4" max="4" width="10.75" style="178" bestFit="1" customWidth="1"/>
    <col min="5" max="5" width="2" style="178" bestFit="1" customWidth="1"/>
    <col min="6" max="6" width="14.25" style="178" bestFit="1" customWidth="1"/>
    <col min="7" max="7" width="17" style="178" customWidth="1"/>
    <col min="8" max="8" width="2" style="178" bestFit="1" customWidth="1"/>
    <col min="9" max="9" width="14.125" style="178" bestFit="1" customWidth="1"/>
    <col min="10" max="10" width="1.625" style="178" customWidth="1"/>
    <col min="11" max="11" width="47.625" style="178" bestFit="1" customWidth="1"/>
    <col min="12" max="12" width="14.75" style="96" bestFit="1" customWidth="1"/>
    <col min="13" max="13" width="6.125" style="96" bestFit="1" customWidth="1"/>
    <col min="14" max="16" width="1.375" style="178" bestFit="1" customWidth="1"/>
    <col min="17" max="17" width="14.125" style="178" bestFit="1" customWidth="1"/>
    <col min="18" max="18" width="1.375" style="178" bestFit="1" customWidth="1"/>
    <col min="19" max="19" width="13.25" style="178" bestFit="1" customWidth="1"/>
    <col min="20" max="20" width="13" style="178" bestFit="1" customWidth="1"/>
    <col min="21" max="21" width="12.25" style="178" bestFit="1" customWidth="1"/>
    <col min="22" max="22" width="5.5" style="178" bestFit="1" customWidth="1"/>
    <col min="23" max="23" width="1.375" style="178" bestFit="1" customWidth="1"/>
    <col min="24" max="24" width="10.25" style="178" customWidth="1"/>
    <col min="25" max="25" width="12.125" style="178" customWidth="1"/>
    <col min="26" max="16384" width="10.25" style="178"/>
  </cols>
  <sheetData>
    <row r="1" spans="1:30" ht="18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0"/>
      <c r="L1" s="91"/>
      <c r="M1" s="91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0" ht="18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6"/>
      <c r="K2" s="90"/>
      <c r="L2" s="91"/>
      <c r="M2" s="91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7"/>
      <c r="K3" s="90"/>
      <c r="L3" s="91"/>
      <c r="M3" s="91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K4" s="90"/>
      <c r="L4" s="91"/>
      <c r="M4" s="91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0">
      <c r="A5" s="29" t="s">
        <v>97</v>
      </c>
      <c r="B5" s="30"/>
      <c r="C5" s="30"/>
      <c r="D5" s="31"/>
      <c r="E5" s="31"/>
      <c r="F5" s="30"/>
      <c r="G5" s="31"/>
      <c r="H5" s="30"/>
      <c r="I5" s="30"/>
      <c r="J5" s="30"/>
      <c r="K5" s="90"/>
      <c r="L5" s="91"/>
      <c r="M5" s="91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30">
      <c r="A6" s="29"/>
      <c r="B6" s="30"/>
      <c r="C6" s="30"/>
      <c r="D6" s="31"/>
      <c r="E6" s="31"/>
      <c r="F6" s="30"/>
      <c r="G6" s="31"/>
      <c r="H6" s="30"/>
      <c r="I6" s="30"/>
      <c r="J6" s="30"/>
      <c r="K6" s="90"/>
      <c r="L6" s="91"/>
      <c r="M6" s="91"/>
      <c r="N6" s="91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0">
      <c r="A7" s="30"/>
      <c r="B7" s="30"/>
      <c r="C7" s="30"/>
      <c r="D7" s="31"/>
      <c r="E7" s="31"/>
      <c r="F7" s="30"/>
      <c r="G7" s="31"/>
      <c r="H7" s="30"/>
      <c r="I7" s="30"/>
      <c r="J7" s="30"/>
      <c r="K7" s="90"/>
      <c r="L7" s="91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0">
      <c r="A8" s="32"/>
      <c r="B8" s="32"/>
      <c r="C8" s="33"/>
      <c r="D8" s="34"/>
      <c r="E8" s="34"/>
      <c r="G8" s="34"/>
      <c r="H8" s="35"/>
      <c r="I8" s="35"/>
      <c r="J8" s="35"/>
      <c r="K8" s="90"/>
      <c r="L8" s="91"/>
      <c r="M8" s="91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30">
      <c r="A9" s="32"/>
      <c r="B9" s="32"/>
      <c r="C9" s="33" t="s">
        <v>30</v>
      </c>
      <c r="D9" s="334" t="s">
        <v>3</v>
      </c>
      <c r="E9" s="335"/>
      <c r="F9" s="336"/>
      <c r="G9" s="337" t="s">
        <v>612</v>
      </c>
      <c r="H9" s="335"/>
      <c r="I9" s="336"/>
      <c r="J9" s="35"/>
      <c r="K9" s="90"/>
      <c r="L9" s="91"/>
      <c r="M9" s="91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30">
      <c r="A10" s="32"/>
      <c r="B10" s="32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</row>
    <row r="11" spans="1:30">
      <c r="A11" s="230" t="s">
        <v>273</v>
      </c>
      <c r="B11" s="99"/>
      <c r="C11" s="99"/>
      <c r="D11" s="97"/>
      <c r="E11" s="99"/>
      <c r="F11" s="99"/>
      <c r="G11" s="97"/>
      <c r="H11" s="99"/>
      <c r="I11" s="99"/>
      <c r="J11" s="99"/>
      <c r="K11" s="90"/>
      <c r="L11" s="91"/>
    </row>
    <row r="12" spans="1:30">
      <c r="A12" s="230" t="s">
        <v>27</v>
      </c>
      <c r="B12" s="99"/>
      <c r="C12" s="99"/>
      <c r="D12" s="97"/>
      <c r="E12" s="99"/>
      <c r="F12" s="99"/>
      <c r="G12" s="97"/>
      <c r="H12" s="99"/>
      <c r="I12" s="99"/>
      <c r="J12" s="99"/>
      <c r="K12" s="261"/>
      <c r="L12" s="91"/>
    </row>
    <row r="13" spans="1:30">
      <c r="A13" s="99" t="s">
        <v>41</v>
      </c>
      <c r="B13" s="99"/>
      <c r="C13" s="99"/>
      <c r="D13" s="97"/>
      <c r="E13" s="99"/>
      <c r="F13" s="99"/>
      <c r="G13" s="97"/>
      <c r="H13" s="99"/>
      <c r="I13" s="99"/>
      <c r="J13" s="99"/>
      <c r="K13" s="90"/>
      <c r="L13" s="91"/>
    </row>
    <row r="14" spans="1:30">
      <c r="A14" s="99" t="s">
        <v>39</v>
      </c>
      <c r="B14" s="99"/>
      <c r="C14" s="97">
        <v>12356999</v>
      </c>
      <c r="D14" s="237">
        <f>'Exhibit No.__(JAP-Tariff)'!$E$8</f>
        <v>7.49</v>
      </c>
      <c r="E14" s="99"/>
      <c r="F14" s="181">
        <f>ROUND(D14*$C14,0)</f>
        <v>92553923</v>
      </c>
      <c r="G14" s="237">
        <f>D14</f>
        <v>7.49</v>
      </c>
      <c r="H14" s="99"/>
      <c r="I14" s="181">
        <f>ROUND(G14*$C14,0)</f>
        <v>92553923</v>
      </c>
      <c r="J14" s="181"/>
      <c r="K14" s="339" t="s">
        <v>502</v>
      </c>
      <c r="L14" s="339"/>
    </row>
    <row r="15" spans="1:30" ht="15.6" customHeight="1">
      <c r="A15" s="99" t="s">
        <v>40</v>
      </c>
      <c r="B15" s="99"/>
      <c r="C15" s="97">
        <v>4320</v>
      </c>
      <c r="D15" s="237">
        <f>'Exhibit No.__(JAP-Tariff)'!$E$9</f>
        <v>17.989999999999998</v>
      </c>
      <c r="E15" s="99"/>
      <c r="F15" s="181">
        <f>ROUND(D15*$C15,0)</f>
        <v>77717</v>
      </c>
      <c r="G15" s="237">
        <f>D15</f>
        <v>17.989999999999998</v>
      </c>
      <c r="H15" s="99"/>
      <c r="I15" s="181">
        <f>ROUND(G15*$C15,0)</f>
        <v>77717</v>
      </c>
      <c r="J15" s="181"/>
      <c r="K15" s="339" t="s">
        <v>502</v>
      </c>
      <c r="L15" s="339"/>
    </row>
    <row r="16" spans="1:30">
      <c r="A16" s="223" t="s">
        <v>34</v>
      </c>
      <c r="B16" s="99"/>
      <c r="C16" s="112">
        <f>SUM(C14:C15)</f>
        <v>12361319</v>
      </c>
      <c r="D16" s="244"/>
      <c r="E16" s="99"/>
      <c r="F16" s="115">
        <f>SUM(F14:F15)</f>
        <v>92631640</v>
      </c>
      <c r="G16" s="244"/>
      <c r="H16" s="99"/>
      <c r="I16" s="115">
        <f>SUM(I14:I15)</f>
        <v>92631640</v>
      </c>
      <c r="J16" s="181"/>
      <c r="K16" s="339"/>
      <c r="L16" s="339"/>
    </row>
    <row r="17" spans="1:32">
      <c r="A17" s="99" t="s">
        <v>83</v>
      </c>
      <c r="B17" s="99"/>
      <c r="C17" s="109"/>
      <c r="D17" s="244"/>
      <c r="E17" s="99"/>
      <c r="F17" s="100"/>
      <c r="G17" s="244"/>
      <c r="H17" s="99"/>
      <c r="I17" s="100"/>
      <c r="J17" s="181"/>
      <c r="K17" s="293"/>
      <c r="L17" s="293"/>
    </row>
    <row r="18" spans="1:32">
      <c r="A18" s="189" t="s">
        <v>78</v>
      </c>
      <c r="B18" s="99"/>
      <c r="C18" s="97">
        <v>6117143732</v>
      </c>
      <c r="D18" s="239">
        <f>'Exhibit No.__(JAP-Tariff)'!$E$11</f>
        <v>8.7335999999999997E-2</v>
      </c>
      <c r="E18" s="99"/>
      <c r="F18" s="181">
        <f>ROUND(D18*$C18,0)</f>
        <v>534246865</v>
      </c>
      <c r="G18" s="239">
        <f>ROUND(D18,6)</f>
        <v>8.7335999999999997E-2</v>
      </c>
      <c r="H18" s="99"/>
      <c r="I18" s="181">
        <f>ROUND(G18*$C18,0)</f>
        <v>534246865</v>
      </c>
      <c r="J18" s="181"/>
      <c r="K18" s="339" t="s">
        <v>502</v>
      </c>
      <c r="L18" s="339"/>
    </row>
    <row r="19" spans="1:32" ht="15.6" customHeight="1">
      <c r="A19" s="189" t="s">
        <v>204</v>
      </c>
      <c r="B19" s="99"/>
      <c r="C19" s="97">
        <v>4402519567</v>
      </c>
      <c r="D19" s="239">
        <f>'Exhibit No.__(JAP-Tariff)'!$E$12</f>
        <v>0.106297</v>
      </c>
      <c r="E19" s="99"/>
      <c r="F19" s="181">
        <f>ROUND(D19*$C19,0)</f>
        <v>467974622</v>
      </c>
      <c r="G19" s="239">
        <f>ROUND(D19*(1+$L$28),6)</f>
        <v>0.12478300000000001</v>
      </c>
      <c r="H19" s="99"/>
      <c r="I19" s="181">
        <f>ROUND(G19*$C19,0)</f>
        <v>549359599</v>
      </c>
      <c r="J19" s="181"/>
      <c r="K19" s="329" t="s">
        <v>283</v>
      </c>
      <c r="L19" s="329"/>
      <c r="M19" s="262"/>
    </row>
    <row r="20" spans="1:32">
      <c r="A20" s="223" t="s">
        <v>34</v>
      </c>
      <c r="B20" s="209"/>
      <c r="C20" s="112">
        <f>SUM(C18:C19)</f>
        <v>10519663299</v>
      </c>
      <c r="D20" s="263"/>
      <c r="E20" s="181"/>
      <c r="F20" s="115">
        <f>SUM(F18:F19)</f>
        <v>1002221487</v>
      </c>
      <c r="G20" s="181"/>
      <c r="H20" s="181"/>
      <c r="I20" s="115">
        <f>SUM(I18:I19)</f>
        <v>1083606464</v>
      </c>
      <c r="J20" s="181"/>
      <c r="K20" s="339"/>
      <c r="L20" s="339"/>
    </row>
    <row r="21" spans="1:32" ht="15.6" customHeight="1">
      <c r="A21" s="118" t="s">
        <v>77</v>
      </c>
      <c r="B21" s="99"/>
      <c r="C21" s="97">
        <v>163135972.98435408</v>
      </c>
      <c r="D21" s="239">
        <f>D19</f>
        <v>0.106297</v>
      </c>
      <c r="E21" s="99"/>
      <c r="F21" s="181">
        <f>ROUND(D21*$C21,0)</f>
        <v>17340865</v>
      </c>
      <c r="G21" s="239">
        <f>G19</f>
        <v>0.12478300000000001</v>
      </c>
      <c r="H21" s="99"/>
      <c r="I21" s="181">
        <f>ROUND(G21*$C21,0)</f>
        <v>20356596</v>
      </c>
      <c r="J21" s="181"/>
      <c r="K21" s="338" t="s">
        <v>302</v>
      </c>
      <c r="L21" s="339"/>
    </row>
    <row r="22" spans="1:32">
      <c r="A22" s="118" t="s">
        <v>79</v>
      </c>
      <c r="B22" s="209"/>
      <c r="C22" s="97">
        <v>-24716561.447262883</v>
      </c>
      <c r="D22" s="239">
        <f>F22/C22</f>
        <v>0.1040397551045584</v>
      </c>
      <c r="E22" s="99"/>
      <c r="F22" s="181">
        <v>-2571505</v>
      </c>
      <c r="G22" s="239">
        <f>ROUND(D22*(1+$L$28),6)</f>
        <v>0.12213300000000001</v>
      </c>
      <c r="H22" s="99"/>
      <c r="I22" s="181">
        <f>ROUND(G22*$C22,0)</f>
        <v>-3018708</v>
      </c>
      <c r="J22" s="100"/>
      <c r="K22" s="339"/>
      <c r="L22" s="339"/>
    </row>
    <row r="23" spans="1:32" ht="16.5" thickBot="1">
      <c r="A23" s="99" t="s">
        <v>35</v>
      </c>
      <c r="B23" s="99"/>
      <c r="C23" s="264">
        <f>SUM(C20:C22)</f>
        <v>10658082710.53709</v>
      </c>
      <c r="D23" s="239"/>
      <c r="E23" s="99"/>
      <c r="F23" s="211">
        <f>SUM(F20:F22,F16)</f>
        <v>1109622487</v>
      </c>
      <c r="G23" s="99"/>
      <c r="H23" s="99"/>
      <c r="I23" s="211">
        <f>SUM(I20:I22,I16)</f>
        <v>1193575992</v>
      </c>
      <c r="J23" s="105"/>
      <c r="K23" s="106" t="s">
        <v>36</v>
      </c>
      <c r="L23" s="303">
        <f>'Exhibit No.__(JAP-Rate Spread)'!K8*1000</f>
        <v>1193574394.1496346</v>
      </c>
      <c r="M23" s="295"/>
      <c r="N23" s="296"/>
    </row>
    <row r="24" spans="1:32" ht="16.5" thickTop="1">
      <c r="A24" s="99"/>
      <c r="B24" s="99"/>
      <c r="C24" s="109"/>
      <c r="D24" s="100"/>
      <c r="E24" s="100"/>
      <c r="F24" s="100"/>
      <c r="G24" s="100"/>
      <c r="H24" s="100"/>
      <c r="I24" s="100"/>
      <c r="J24" s="100"/>
      <c r="K24" s="256" t="s">
        <v>596</v>
      </c>
      <c r="L24" s="304">
        <f>L23-F23</f>
        <v>83951907.1496346</v>
      </c>
      <c r="M24" s="294">
        <f>L24/F23</f>
        <v>7.5658080232862662E-2</v>
      </c>
      <c r="N24" s="248"/>
    </row>
    <row r="25" spans="1:32">
      <c r="C25" s="97"/>
      <c r="D25" s="99"/>
      <c r="E25" s="97"/>
      <c r="F25" s="181"/>
      <c r="G25" s="99" t="s">
        <v>0</v>
      </c>
      <c r="H25" s="97"/>
      <c r="I25" s="181" t="s">
        <v>0</v>
      </c>
      <c r="J25" s="181"/>
      <c r="K25" s="256" t="s">
        <v>37</v>
      </c>
      <c r="L25" s="304">
        <f>L23-I23</f>
        <v>-1597.8503654003143</v>
      </c>
      <c r="M25" s="91"/>
      <c r="N25" s="248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F25" s="182"/>
    </row>
    <row r="26" spans="1:32">
      <c r="A26" s="99"/>
      <c r="B26" s="99"/>
      <c r="C26" s="109"/>
      <c r="D26" s="239"/>
      <c r="E26" s="100"/>
      <c r="F26" s="181"/>
      <c r="G26" s="100"/>
      <c r="H26" s="100"/>
      <c r="I26" s="100"/>
      <c r="J26" s="100"/>
      <c r="K26" s="297"/>
      <c r="L26" s="305"/>
      <c r="M26" s="100"/>
      <c r="N26" s="298"/>
      <c r="O26" s="100"/>
      <c r="P26" s="100"/>
      <c r="Y26" s="90"/>
      <c r="Z26" s="90"/>
      <c r="AA26" s="90"/>
      <c r="AB26" s="90"/>
      <c r="AC26" s="90"/>
      <c r="AD26" s="90"/>
      <c r="AF26" s="182"/>
    </row>
    <row r="27" spans="1:32">
      <c r="A27" s="99"/>
      <c r="B27" s="258"/>
      <c r="C27" s="97"/>
      <c r="D27" s="99"/>
      <c r="E27" s="99"/>
      <c r="F27" s="181"/>
      <c r="G27" s="99" t="s">
        <v>0</v>
      </c>
      <c r="H27" s="99"/>
      <c r="I27" s="100"/>
      <c r="J27" s="100"/>
      <c r="K27" s="302" t="s">
        <v>621</v>
      </c>
      <c r="L27" s="193">
        <f>SUM(F19,F21:F22)</f>
        <v>482743982</v>
      </c>
      <c r="M27" s="100"/>
      <c r="N27" s="298"/>
      <c r="O27" s="100"/>
      <c r="P27" s="10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F27" s="182"/>
    </row>
    <row r="28" spans="1:32">
      <c r="F28" s="181"/>
      <c r="I28" s="100"/>
      <c r="J28" s="100"/>
      <c r="K28" s="299" t="s">
        <v>620</v>
      </c>
      <c r="L28" s="300">
        <f>L24/L27</f>
        <v>0.1739056524367705</v>
      </c>
      <c r="M28" s="241"/>
      <c r="N28" s="301"/>
      <c r="O28" s="100"/>
      <c r="P28" s="100"/>
    </row>
    <row r="29" spans="1:32">
      <c r="C29" s="97"/>
      <c r="D29" s="99"/>
      <c r="E29" s="97"/>
      <c r="F29" s="181"/>
      <c r="G29" s="99" t="s">
        <v>0</v>
      </c>
      <c r="H29" s="97"/>
      <c r="I29" s="100"/>
      <c r="J29" s="100"/>
      <c r="K29" s="100"/>
      <c r="L29" s="100"/>
      <c r="M29" s="100"/>
      <c r="N29" s="100"/>
      <c r="O29" s="100"/>
      <c r="P29" s="100"/>
    </row>
    <row r="30" spans="1:32">
      <c r="F30" s="181"/>
      <c r="I30" s="100"/>
      <c r="J30" s="100"/>
      <c r="K30" s="100"/>
      <c r="L30" s="100"/>
      <c r="M30" s="100"/>
      <c r="N30" s="100"/>
      <c r="O30" s="100"/>
      <c r="P30" s="100"/>
    </row>
    <row r="31" spans="1:32">
      <c r="F31" s="181"/>
      <c r="I31" s="100"/>
      <c r="J31" s="100"/>
      <c r="K31" s="100"/>
      <c r="L31" s="100"/>
      <c r="M31" s="100"/>
      <c r="N31" s="100"/>
      <c r="O31" s="100"/>
      <c r="P31" s="100"/>
    </row>
    <row r="32" spans="1:32">
      <c r="F32" s="181"/>
      <c r="I32" s="100"/>
      <c r="J32" s="100"/>
      <c r="K32" s="100"/>
      <c r="L32" s="100"/>
      <c r="M32" s="100"/>
      <c r="N32" s="100"/>
      <c r="O32" s="100"/>
      <c r="P32" s="100"/>
    </row>
    <row r="33" spans="7:16">
      <c r="G33" s="265"/>
      <c r="I33" s="100"/>
      <c r="J33" s="100"/>
      <c r="K33" s="100"/>
      <c r="L33" s="100"/>
      <c r="M33" s="100"/>
      <c r="N33" s="100"/>
      <c r="O33" s="100"/>
      <c r="P33" s="100"/>
    </row>
    <row r="34" spans="7:16">
      <c r="G34" s="265"/>
      <c r="I34" s="100"/>
      <c r="J34" s="100"/>
      <c r="K34" s="100"/>
      <c r="L34" s="100"/>
      <c r="M34" s="100"/>
      <c r="N34" s="100"/>
      <c r="O34" s="100"/>
      <c r="P34" s="100"/>
    </row>
  </sheetData>
  <mergeCells count="14">
    <mergeCell ref="K21:L21"/>
    <mergeCell ref="K20:L20"/>
    <mergeCell ref="K22:L22"/>
    <mergeCell ref="K14:L14"/>
    <mergeCell ref="K15:L15"/>
    <mergeCell ref="K16:L16"/>
    <mergeCell ref="K18:L18"/>
    <mergeCell ref="K19:L19"/>
    <mergeCell ref="A1:J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7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M143"/>
  <sheetViews>
    <sheetView zoomScale="80" zoomScaleNormal="80" zoomScaleSheetLayoutView="80" workbookViewId="0">
      <pane xSplit="6" ySplit="10" topLeftCell="G11" activePane="bottomRight" state="frozen"/>
      <selection activeCellId="1" sqref="A1 A1:XFD1048576"/>
      <selection pane="topRight" activeCellId="1" sqref="A1 A1:XFD1048576"/>
      <selection pane="bottomLeft" activeCellId="1" sqref="A1 A1:XFD1048576"/>
      <selection pane="bottomRight" activeCell="G11" sqref="G11"/>
    </sheetView>
  </sheetViews>
  <sheetFormatPr defaultColWidth="10.25" defaultRowHeight="15.75"/>
  <cols>
    <col min="1" max="1" width="42.125" style="178" bestFit="1" customWidth="1"/>
    <col min="2" max="2" width="1.375" style="178" bestFit="1" customWidth="1"/>
    <col min="3" max="3" width="13.25" style="178" bestFit="1" customWidth="1"/>
    <col min="4" max="4" width="11.5" style="178" bestFit="1" customWidth="1"/>
    <col min="5" max="5" width="2" style="178" bestFit="1" customWidth="1"/>
    <col min="6" max="6" width="12.625" style="178" bestFit="1" customWidth="1"/>
    <col min="7" max="7" width="12.25" style="178" bestFit="1" customWidth="1"/>
    <col min="8" max="8" width="2" style="178" bestFit="1" customWidth="1"/>
    <col min="9" max="9" width="12.625" style="178" bestFit="1" customWidth="1"/>
    <col min="10" max="10" width="1.625" style="178" customWidth="1"/>
    <col min="11" max="11" width="50.75" style="178" bestFit="1" customWidth="1"/>
    <col min="12" max="12" width="12.625" style="96" bestFit="1" customWidth="1"/>
    <col min="13" max="13" width="11.625" style="96" customWidth="1"/>
    <col min="14" max="14" width="17.125" style="96" bestFit="1" customWidth="1"/>
    <col min="15" max="15" width="11.5" style="178" bestFit="1" customWidth="1"/>
    <col min="16" max="16" width="13.375" style="178" bestFit="1" customWidth="1"/>
    <col min="17" max="17" width="9.75" style="178" bestFit="1" customWidth="1"/>
    <col min="18" max="18" width="1.375" style="178" bestFit="1" customWidth="1"/>
    <col min="19" max="19" width="13.375" style="178" bestFit="1" customWidth="1"/>
    <col min="20" max="20" width="12" style="178" bestFit="1" customWidth="1"/>
    <col min="21" max="21" width="12.25" style="178" bestFit="1" customWidth="1"/>
    <col min="22" max="22" width="5.5" style="178" bestFit="1" customWidth="1"/>
    <col min="23" max="23" width="1.375" style="178" bestFit="1" customWidth="1"/>
    <col min="24" max="24" width="10.25" style="178" customWidth="1"/>
    <col min="25" max="25" width="12.125" style="178" customWidth="1"/>
    <col min="26" max="16384" width="10.25" style="178"/>
  </cols>
  <sheetData>
    <row r="1" spans="1:39" ht="18.75">
      <c r="A1" s="340" t="s">
        <v>51</v>
      </c>
      <c r="B1" s="340"/>
      <c r="C1" s="340"/>
      <c r="D1" s="340"/>
      <c r="E1" s="340"/>
      <c r="F1" s="340"/>
      <c r="G1" s="340"/>
      <c r="H1" s="340"/>
      <c r="I1" s="340"/>
      <c r="J1" s="340"/>
      <c r="N1" s="351"/>
      <c r="O1" s="352"/>
      <c r="P1" s="353" t="s">
        <v>590</v>
      </c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</row>
    <row r="2" spans="1:39" ht="18.75">
      <c r="A2" s="340" t="s">
        <v>28</v>
      </c>
      <c r="B2" s="340"/>
      <c r="C2" s="340"/>
      <c r="D2" s="340"/>
      <c r="E2" s="340"/>
      <c r="F2" s="340"/>
      <c r="G2" s="340"/>
      <c r="H2" s="340"/>
      <c r="I2" s="340"/>
      <c r="J2" s="92"/>
      <c r="N2" s="354" t="s">
        <v>601</v>
      </c>
      <c r="O2" s="199">
        <f>ROUND(M27,6)</f>
        <v>0</v>
      </c>
      <c r="P2" s="355">
        <v>3.6999999999999998E-5</v>
      </c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</row>
    <row r="3" spans="1:39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93"/>
      <c r="N3" s="354" t="s">
        <v>600</v>
      </c>
      <c r="O3" s="199">
        <f>M49</f>
        <v>-2.0882584045929669E-8</v>
      </c>
      <c r="P3" s="355">
        <v>-3.627E-3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</row>
    <row r="4" spans="1:39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28"/>
      <c r="N4" s="354" t="s">
        <v>602</v>
      </c>
      <c r="O4" s="199">
        <f>M83</f>
        <v>2.9686096105215491E-7</v>
      </c>
      <c r="P4" s="355">
        <v>-9.9999999999999995E-7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</row>
    <row r="5" spans="1:39">
      <c r="A5" s="29" t="s">
        <v>98</v>
      </c>
      <c r="B5" s="94"/>
      <c r="C5" s="94"/>
      <c r="D5" s="95"/>
      <c r="E5" s="95"/>
      <c r="F5" s="94"/>
      <c r="G5" s="95"/>
      <c r="H5" s="94"/>
      <c r="I5" s="94"/>
      <c r="J5" s="94"/>
      <c r="N5" s="354" t="s">
        <v>603</v>
      </c>
      <c r="O5" s="199">
        <f>'Exhibit No.__(JAP-PV RD)'!M33</f>
        <v>-2.7835972152601996E-7</v>
      </c>
      <c r="P5" s="355">
        <v>-5.0000000000000004E-6</v>
      </c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</row>
    <row r="6" spans="1:39">
      <c r="A6" s="29"/>
      <c r="B6" s="94"/>
      <c r="C6" s="94"/>
      <c r="D6" s="95"/>
      <c r="E6" s="95"/>
      <c r="F6" s="94"/>
      <c r="G6" s="95"/>
      <c r="H6" s="94"/>
      <c r="I6" s="94"/>
      <c r="J6" s="94"/>
      <c r="N6" s="354" t="s">
        <v>604</v>
      </c>
      <c r="O6" s="199">
        <f>'Exhibit No.__(JAP-PV RD)'!M56</f>
        <v>2.8119036735900501E-7</v>
      </c>
      <c r="P6" s="355">
        <v>-7.9999999999999996E-6</v>
      </c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</row>
    <row r="7" spans="1:39" ht="16.5" thickBot="1">
      <c r="A7" s="94"/>
      <c r="B7" s="94"/>
      <c r="C7" s="94"/>
      <c r="D7" s="95"/>
      <c r="E7" s="95"/>
      <c r="F7" s="94"/>
      <c r="G7" s="95"/>
      <c r="H7" s="94"/>
      <c r="I7" s="94"/>
      <c r="J7" s="94"/>
      <c r="N7" s="356" t="s">
        <v>608</v>
      </c>
      <c r="O7" s="357">
        <f>-'Exhibit No.__(JAP-HV RD)'!M44</f>
        <v>-4.8625337176483449E-7</v>
      </c>
      <c r="P7" s="358">
        <v>-2.1999999999999999E-5</v>
      </c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</row>
    <row r="8" spans="1:39">
      <c r="A8" s="34"/>
      <c r="B8" s="34"/>
      <c r="C8" s="33"/>
      <c r="D8" s="34"/>
      <c r="E8" s="34"/>
      <c r="G8" s="34"/>
      <c r="H8" s="35"/>
      <c r="I8" s="35"/>
      <c r="J8" s="35"/>
      <c r="K8" s="90"/>
      <c r="L8" s="91"/>
      <c r="M8" s="91"/>
      <c r="N8" s="91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</row>
    <row r="9" spans="1:39">
      <c r="A9" s="34"/>
      <c r="B9" s="34"/>
      <c r="C9" s="33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5"/>
      <c r="K9" s="90"/>
      <c r="L9" s="91"/>
      <c r="M9" s="91"/>
      <c r="N9" s="91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</row>
    <row r="10" spans="1:39">
      <c r="A10" s="34"/>
      <c r="B10" s="34"/>
      <c r="C10" s="36" t="s">
        <v>31</v>
      </c>
      <c r="D10" s="37" t="s">
        <v>32</v>
      </c>
      <c r="E10" s="38"/>
      <c r="F10" s="35" t="s">
        <v>33</v>
      </c>
      <c r="G10" s="37" t="s">
        <v>32</v>
      </c>
      <c r="H10" s="37"/>
      <c r="I10" s="37" t="s">
        <v>33</v>
      </c>
      <c r="J10" s="37"/>
      <c r="K10" s="90"/>
      <c r="L10" s="91"/>
      <c r="M10" s="91"/>
      <c r="N10" s="91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</row>
    <row r="11" spans="1:39">
      <c r="A11" s="99"/>
      <c r="B11" s="258"/>
      <c r="C11" s="97"/>
      <c r="D11" s="99" t="s">
        <v>0</v>
      </c>
      <c r="E11" s="99"/>
      <c r="G11" s="99" t="s">
        <v>0</v>
      </c>
      <c r="H11" s="99"/>
      <c r="I11" s="181" t="s">
        <v>0</v>
      </c>
      <c r="J11" s="181"/>
      <c r="K11" s="90"/>
      <c r="L11" s="91"/>
      <c r="M11" s="91"/>
      <c r="N11" s="91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F11" s="182"/>
    </row>
    <row r="12" spans="1:39">
      <c r="A12" s="230" t="s">
        <v>106</v>
      </c>
      <c r="B12" s="99"/>
      <c r="C12" s="99" t="s">
        <v>0</v>
      </c>
      <c r="D12" s="181"/>
      <c r="E12" s="99"/>
      <c r="F12" s="99"/>
      <c r="G12" s="181"/>
      <c r="H12" s="99"/>
      <c r="I12" s="99"/>
      <c r="J12" s="99"/>
      <c r="K12" s="90"/>
      <c r="L12" s="91"/>
      <c r="M12" s="91"/>
      <c r="N12" s="91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F12" s="182"/>
    </row>
    <row r="13" spans="1:39">
      <c r="A13" s="230" t="s">
        <v>88</v>
      </c>
      <c r="B13" s="99"/>
      <c r="C13" s="99"/>
      <c r="D13" s="181"/>
      <c r="E13" s="99"/>
      <c r="F13" s="99"/>
      <c r="G13" s="181"/>
      <c r="H13" s="99"/>
      <c r="I13" s="99"/>
      <c r="J13" s="99"/>
      <c r="K13" s="90"/>
      <c r="L13" s="91"/>
      <c r="M13" s="91"/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F13" s="182"/>
    </row>
    <row r="14" spans="1:39">
      <c r="A14" s="99" t="s">
        <v>41</v>
      </c>
      <c r="B14" s="99"/>
      <c r="C14" s="97"/>
      <c r="D14" s="181"/>
      <c r="E14" s="99"/>
      <c r="F14" s="99"/>
      <c r="G14" s="181"/>
      <c r="H14" s="99"/>
      <c r="I14" s="99"/>
      <c r="J14" s="99"/>
      <c r="M14" s="98"/>
      <c r="N14" s="98"/>
      <c r="P14" s="194"/>
      <c r="Q14" s="90"/>
      <c r="R14" s="101"/>
      <c r="S14" s="182"/>
      <c r="T14" s="182"/>
      <c r="U14" s="101"/>
      <c r="V14" s="98"/>
      <c r="W14" s="182"/>
      <c r="X14" s="182"/>
      <c r="AF14" s="90"/>
      <c r="AG14" s="90"/>
      <c r="AH14" s="90"/>
      <c r="AI14" s="90"/>
      <c r="AJ14" s="90"/>
      <c r="AK14" s="90"/>
      <c r="AM14" s="182"/>
    </row>
    <row r="15" spans="1:39">
      <c r="A15" s="99" t="s">
        <v>39</v>
      </c>
      <c r="B15" s="99"/>
      <c r="C15" s="97">
        <v>1102230</v>
      </c>
      <c r="D15" s="237">
        <f>'Exhibit No.__(JAP-Tariff)'!E15</f>
        <v>9.8000000000000007</v>
      </c>
      <c r="E15" s="99"/>
      <c r="F15" s="181">
        <f>ROUND(D15*$C15,0)</f>
        <v>10801854</v>
      </c>
      <c r="G15" s="237">
        <f>ROUND(D15*(1+$M$25),2)</f>
        <v>10.54</v>
      </c>
      <c r="H15" s="99"/>
      <c r="I15" s="181">
        <f>ROUND(G15*$C15,0)</f>
        <v>11617504</v>
      </c>
      <c r="J15" s="100"/>
      <c r="K15" s="329" t="s">
        <v>86</v>
      </c>
      <c r="L15" s="329"/>
      <c r="M15" s="329"/>
      <c r="N15" s="25"/>
      <c r="P15" s="192"/>
      <c r="Q15" s="192"/>
      <c r="R15" s="101"/>
      <c r="S15" s="193"/>
      <c r="T15" s="193"/>
      <c r="U15" s="101"/>
      <c r="V15" s="98"/>
      <c r="W15" s="182"/>
      <c r="X15" s="182"/>
      <c r="AF15" s="90"/>
      <c r="AG15" s="90"/>
      <c r="AH15" s="90"/>
      <c r="AI15" s="90"/>
      <c r="AJ15" s="90"/>
      <c r="AK15" s="90"/>
      <c r="AM15" s="182"/>
    </row>
    <row r="16" spans="1:39">
      <c r="A16" s="99" t="s">
        <v>40</v>
      </c>
      <c r="B16" s="99"/>
      <c r="C16" s="97">
        <v>465865</v>
      </c>
      <c r="D16" s="237">
        <f>'Exhibit No.__(JAP-Tariff)'!E16</f>
        <v>24.9</v>
      </c>
      <c r="E16" s="259"/>
      <c r="F16" s="181">
        <f>ROUND(D16*$C16,0)</f>
        <v>11600039</v>
      </c>
      <c r="G16" s="237">
        <f>ROUND(D16*(1+$M$25),2)</f>
        <v>26.78</v>
      </c>
      <c r="H16" s="259"/>
      <c r="I16" s="181">
        <f>ROUND(G16*$C16,0)</f>
        <v>12475865</v>
      </c>
      <c r="J16" s="100"/>
      <c r="K16" s="329" t="s">
        <v>86</v>
      </c>
      <c r="L16" s="329"/>
      <c r="M16" s="329"/>
      <c r="N16" s="25"/>
      <c r="O16" s="96"/>
      <c r="P16" s="192"/>
      <c r="Q16" s="192"/>
      <c r="R16" s="101"/>
      <c r="S16" s="193"/>
      <c r="T16" s="193"/>
      <c r="U16" s="101"/>
      <c r="W16" s="90"/>
      <c r="X16" s="90"/>
      <c r="Y16" s="90"/>
      <c r="Z16" s="90"/>
      <c r="AA16" s="90"/>
      <c r="AB16" s="90"/>
      <c r="AC16" s="90"/>
      <c r="AD16" s="90"/>
      <c r="AF16" s="182"/>
    </row>
    <row r="17" spans="1:32">
      <c r="A17" s="223" t="s">
        <v>34</v>
      </c>
      <c r="B17" s="99"/>
      <c r="C17" s="112">
        <f>SUM(C15:C16)</f>
        <v>1568095</v>
      </c>
      <c r="D17" s="244"/>
      <c r="E17" s="99"/>
      <c r="F17" s="115">
        <f>SUM(F15:F16)</f>
        <v>22401893</v>
      </c>
      <c r="G17" s="244"/>
      <c r="H17" s="99"/>
      <c r="I17" s="115">
        <f>SUM(I15:I16)</f>
        <v>24093369</v>
      </c>
      <c r="J17" s="100"/>
      <c r="K17" s="290"/>
      <c r="M17" s="98"/>
      <c r="N17" s="98"/>
      <c r="O17" s="96"/>
      <c r="P17" s="192"/>
      <c r="Q17" s="192"/>
      <c r="W17" s="90"/>
      <c r="X17" s="90"/>
      <c r="Y17" s="90"/>
      <c r="Z17" s="90"/>
      <c r="AA17" s="90"/>
      <c r="AB17" s="90"/>
      <c r="AC17" s="90"/>
      <c r="AD17" s="90"/>
      <c r="AF17" s="182"/>
    </row>
    <row r="18" spans="1:32">
      <c r="A18" s="99" t="s">
        <v>83</v>
      </c>
      <c r="B18" s="99"/>
      <c r="C18" s="97"/>
      <c r="D18" s="244"/>
      <c r="E18" s="99"/>
      <c r="F18" s="100"/>
      <c r="G18" s="244"/>
      <c r="H18" s="99"/>
      <c r="I18" s="100"/>
      <c r="J18" s="100"/>
      <c r="K18" s="290"/>
      <c r="M18" s="98"/>
      <c r="N18" s="98"/>
      <c r="O18" s="96"/>
      <c r="P18" s="192"/>
      <c r="Q18" s="192"/>
      <c r="W18" s="90"/>
      <c r="X18" s="90"/>
      <c r="Y18" s="90"/>
      <c r="Z18" s="90"/>
      <c r="AA18" s="90"/>
      <c r="AB18" s="90"/>
      <c r="AC18" s="90"/>
      <c r="AD18" s="90"/>
      <c r="AF18" s="182"/>
    </row>
    <row r="19" spans="1:32">
      <c r="A19" s="189" t="s">
        <v>81</v>
      </c>
      <c r="B19" s="99"/>
      <c r="C19" s="97">
        <v>1431553998</v>
      </c>
      <c r="D19" s="239">
        <f>'Exhibit No.__(JAP-Tariff)'!E18</f>
        <v>9.071499999999999E-2</v>
      </c>
      <c r="E19" s="99"/>
      <c r="F19" s="181">
        <f t="shared" ref="F19:F20" si="0">ROUND(D19*$C19,0)</f>
        <v>129863421</v>
      </c>
      <c r="G19" s="239">
        <f>ROUND(D19*(1+$M$25),6)+L27</f>
        <v>9.7614999999999993E-2</v>
      </c>
      <c r="H19" s="99"/>
      <c r="I19" s="181">
        <f t="shared" ref="I19:I20" si="1">ROUND(G19*$C19,0)</f>
        <v>139741144</v>
      </c>
      <c r="J19" s="100"/>
      <c r="K19" s="329" t="s">
        <v>87</v>
      </c>
      <c r="L19" s="329"/>
      <c r="M19" s="329"/>
      <c r="N19" s="25"/>
      <c r="O19" s="96"/>
      <c r="P19" s="192"/>
      <c r="Q19" s="192"/>
      <c r="R19" s="180"/>
      <c r="S19" s="193"/>
      <c r="T19" s="193"/>
      <c r="W19" s="90"/>
      <c r="X19" s="90"/>
      <c r="Y19" s="90"/>
      <c r="Z19" s="90"/>
      <c r="AA19" s="90"/>
      <c r="AB19" s="90"/>
      <c r="AC19" s="90"/>
      <c r="AD19" s="90"/>
      <c r="AF19" s="182"/>
    </row>
    <row r="20" spans="1:32">
      <c r="A20" s="118" t="s">
        <v>82</v>
      </c>
      <c r="B20" s="99"/>
      <c r="C20" s="97">
        <v>1267501014</v>
      </c>
      <c r="D20" s="239">
        <f>'Exhibit No.__(JAP-Tariff)'!E19</f>
        <v>8.7578000000000003E-2</v>
      </c>
      <c r="E20" s="99"/>
      <c r="F20" s="181">
        <f t="shared" si="0"/>
        <v>111005204</v>
      </c>
      <c r="G20" s="239">
        <f>ROUND(D20*(1+$M$25),6)</f>
        <v>9.4203999999999996E-2</v>
      </c>
      <c r="H20" s="99"/>
      <c r="I20" s="181">
        <f t="shared" si="1"/>
        <v>119403666</v>
      </c>
      <c r="J20" s="100"/>
      <c r="K20" s="329" t="s">
        <v>86</v>
      </c>
      <c r="L20" s="329"/>
      <c r="M20" s="329"/>
      <c r="N20" s="25"/>
      <c r="O20" s="96"/>
      <c r="P20" s="192"/>
      <c r="Q20" s="192"/>
      <c r="S20" s="193"/>
      <c r="T20" s="193"/>
      <c r="W20" s="90"/>
      <c r="X20" s="90"/>
      <c r="Y20" s="90"/>
      <c r="Z20" s="90"/>
      <c r="AA20" s="90"/>
      <c r="AB20" s="90"/>
      <c r="AC20" s="90"/>
      <c r="AD20" s="90"/>
      <c r="AF20" s="182"/>
    </row>
    <row r="21" spans="1:32">
      <c r="A21" s="223" t="s">
        <v>34</v>
      </c>
      <c r="B21" s="185"/>
      <c r="C21" s="112">
        <f>SUM(C19:C20)</f>
        <v>2699055012</v>
      </c>
      <c r="D21" s="253"/>
      <c r="E21" s="99"/>
      <c r="F21" s="115">
        <f>SUM(F19:F20)</f>
        <v>240868625</v>
      </c>
      <c r="G21" s="253"/>
      <c r="H21" s="99"/>
      <c r="I21" s="115">
        <f>SUM(I19:I20)</f>
        <v>259144810</v>
      </c>
      <c r="J21" s="100"/>
      <c r="K21" s="290"/>
      <c r="P21" s="192"/>
      <c r="Q21" s="192"/>
      <c r="W21" s="90"/>
      <c r="X21" s="90"/>
      <c r="Y21" s="90"/>
      <c r="Z21" s="90"/>
      <c r="AA21" s="90"/>
      <c r="AB21" s="90"/>
      <c r="AC21" s="90"/>
      <c r="AD21" s="90"/>
      <c r="AF21" s="182"/>
    </row>
    <row r="22" spans="1:32">
      <c r="A22" s="189" t="s">
        <v>84</v>
      </c>
      <c r="B22" s="185"/>
      <c r="C22" s="97">
        <v>21201556.098585092</v>
      </c>
      <c r="D22" s="239">
        <f>D19</f>
        <v>9.071499999999999E-2</v>
      </c>
      <c r="E22" s="99"/>
      <c r="F22" s="181">
        <f t="shared" ref="F22:F23" si="2">ROUND(D22*$C22,0)</f>
        <v>1923299</v>
      </c>
      <c r="G22" s="239">
        <f>G19</f>
        <v>9.7614999999999993E-2</v>
      </c>
      <c r="H22" s="99"/>
      <c r="I22" s="181">
        <f t="shared" ref="I22:I24" si="3">ROUND(G22*$C22,0)</f>
        <v>2069590</v>
      </c>
      <c r="J22" s="100"/>
      <c r="K22" s="329" t="s">
        <v>86</v>
      </c>
      <c r="L22" s="329"/>
      <c r="M22" s="329"/>
      <c r="P22" s="192"/>
      <c r="Q22" s="192"/>
      <c r="S22" s="193"/>
      <c r="T22" s="193"/>
      <c r="W22" s="90"/>
      <c r="X22" s="90"/>
      <c r="Y22" s="90"/>
      <c r="Z22" s="90"/>
      <c r="AA22" s="90"/>
      <c r="AB22" s="90"/>
      <c r="AC22" s="90"/>
      <c r="AD22" s="90"/>
      <c r="AF22" s="182"/>
    </row>
    <row r="23" spans="1:32">
      <c r="A23" s="189" t="s">
        <v>85</v>
      </c>
      <c r="B23" s="185"/>
      <c r="C23" s="97">
        <v>-11206544.807252282</v>
      </c>
      <c r="D23" s="239">
        <f>D20</f>
        <v>8.7578000000000003E-2</v>
      </c>
      <c r="E23" s="239"/>
      <c r="F23" s="181">
        <f t="shared" si="2"/>
        <v>-981447</v>
      </c>
      <c r="G23" s="239">
        <f>G20</f>
        <v>9.4203999999999996E-2</v>
      </c>
      <c r="H23" s="99"/>
      <c r="I23" s="181">
        <f t="shared" si="3"/>
        <v>-1055701</v>
      </c>
      <c r="J23" s="100"/>
      <c r="K23" s="329" t="s">
        <v>86</v>
      </c>
      <c r="L23" s="329"/>
      <c r="M23" s="329"/>
      <c r="P23" s="192"/>
      <c r="Q23" s="192"/>
      <c r="S23" s="193"/>
      <c r="T23" s="193"/>
      <c r="W23" s="90"/>
      <c r="X23" s="90"/>
      <c r="Y23" s="90"/>
      <c r="Z23" s="90"/>
      <c r="AA23" s="90"/>
      <c r="AB23" s="90"/>
      <c r="AC23" s="90"/>
      <c r="AD23" s="90"/>
      <c r="AF23" s="182"/>
    </row>
    <row r="24" spans="1:32">
      <c r="A24" s="118" t="s">
        <v>79</v>
      </c>
      <c r="B24" s="240"/>
      <c r="C24" s="102">
        <v>-8333182.4912163178</v>
      </c>
      <c r="D24" s="239">
        <f>ROUND(F24/C24,6)</f>
        <v>9.1907000000000003E-2</v>
      </c>
      <c r="E24" s="99"/>
      <c r="F24" s="181">
        <v>-765877</v>
      </c>
      <c r="G24" s="239">
        <f>ROUND(SUM(I17,I21:I23)/SUM(C21:C23),6)</f>
        <v>0.10492700000000001</v>
      </c>
      <c r="H24" s="99"/>
      <c r="I24" s="181">
        <f t="shared" si="3"/>
        <v>-874376</v>
      </c>
      <c r="J24" s="100"/>
      <c r="K24" s="329" t="s">
        <v>86</v>
      </c>
      <c r="L24" s="329"/>
      <c r="M24" s="329"/>
      <c r="N24" s="98"/>
      <c r="P24" s="192"/>
      <c r="Q24" s="192"/>
      <c r="S24" s="193"/>
      <c r="T24" s="193"/>
      <c r="W24" s="90"/>
      <c r="X24" s="90"/>
      <c r="Y24" s="90"/>
      <c r="Z24" s="90"/>
      <c r="AA24" s="90"/>
      <c r="AB24" s="90"/>
      <c r="AC24" s="90"/>
      <c r="AD24" s="90"/>
      <c r="AF24" s="182"/>
    </row>
    <row r="25" spans="1:32" ht="16.5" thickBot="1">
      <c r="A25" s="99" t="s">
        <v>38</v>
      </c>
      <c r="B25" s="99"/>
      <c r="C25" s="103">
        <f>SUM(C21:C24)</f>
        <v>2700716840.8001165</v>
      </c>
      <c r="D25" s="104"/>
      <c r="E25" s="235"/>
      <c r="F25" s="211">
        <f>SUM(F21:F24,F17)</f>
        <v>263446493</v>
      </c>
      <c r="G25" s="104"/>
      <c r="H25" s="235"/>
      <c r="I25" s="211">
        <f>SUM(I21:I24,I17)</f>
        <v>283377692</v>
      </c>
      <c r="J25" s="105"/>
      <c r="K25" s="106" t="s">
        <v>42</v>
      </c>
      <c r="L25" s="107">
        <f>'Exhibit No.__(JAP-Rate Spread)'!K11*1000</f>
        <v>283378348.90446025</v>
      </c>
      <c r="M25" s="108">
        <f>L25/F25-1</f>
        <v>7.5658080232862579E-2</v>
      </c>
      <c r="N25" s="40"/>
      <c r="O25" s="25"/>
      <c r="P25" s="192"/>
      <c r="Q25" s="192"/>
      <c r="S25" s="193"/>
      <c r="T25" s="193"/>
      <c r="W25" s="90"/>
      <c r="X25" s="90"/>
      <c r="Y25" s="90"/>
      <c r="Z25" s="90"/>
      <c r="AA25" s="90"/>
      <c r="AB25" s="90"/>
      <c r="AC25" s="90"/>
      <c r="AD25" s="90"/>
      <c r="AF25" s="182"/>
    </row>
    <row r="26" spans="1:32" ht="16.5" thickTop="1">
      <c r="A26" s="99"/>
      <c r="B26" s="99"/>
      <c r="C26" s="109"/>
      <c r="D26" s="104"/>
      <c r="E26" s="235"/>
      <c r="F26" s="100"/>
      <c r="G26" s="104"/>
      <c r="H26" s="235"/>
      <c r="I26" s="100"/>
      <c r="J26" s="100"/>
      <c r="K26" s="110" t="s">
        <v>37</v>
      </c>
      <c r="L26" s="111">
        <f>L25-I25</f>
        <v>656.90446025133133</v>
      </c>
      <c r="M26" s="41"/>
      <c r="N26" s="40"/>
      <c r="O26" s="25"/>
      <c r="W26" s="90"/>
      <c r="X26" s="90"/>
      <c r="Y26" s="90"/>
      <c r="Z26" s="90"/>
      <c r="AA26" s="90"/>
      <c r="AB26" s="90"/>
      <c r="AC26" s="90"/>
      <c r="AD26" s="90"/>
      <c r="AF26" s="182"/>
    </row>
    <row r="27" spans="1:32">
      <c r="A27" s="99"/>
      <c r="B27" s="99"/>
      <c r="C27" s="97"/>
      <c r="D27" s="187">
        <f>ROUND(SUM(F21:F24)/SUM(C25),6)</f>
        <v>8.9251999999999998E-2</v>
      </c>
      <c r="E27" s="99"/>
      <c r="F27" s="181"/>
      <c r="G27" s="187">
        <f>ROUND(SUM(I21:I24)/SUM(C25),6)</f>
        <v>9.6005999999999994E-2</v>
      </c>
      <c r="H27" s="99"/>
      <c r="I27" s="181" t="s">
        <v>0</v>
      </c>
      <c r="J27" s="181"/>
      <c r="K27" s="201" t="s">
        <v>333</v>
      </c>
      <c r="L27" s="137">
        <f>P2</f>
        <v>3.6999999999999998E-5</v>
      </c>
      <c r="M27" s="137">
        <f>L26/C19</f>
        <v>4.5887508341919443E-7</v>
      </c>
      <c r="N27" s="91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</row>
    <row r="28" spans="1:32">
      <c r="A28" s="230" t="s">
        <v>108</v>
      </c>
      <c r="B28" s="99"/>
      <c r="C28" s="97"/>
      <c r="D28" s="181"/>
      <c r="E28" s="99"/>
      <c r="F28" s="99"/>
      <c r="G28" s="181"/>
      <c r="H28" s="99"/>
      <c r="I28" s="181" t="s">
        <v>0</v>
      </c>
      <c r="J28" s="181"/>
      <c r="K28" s="90"/>
      <c r="L28" s="91"/>
      <c r="M28" s="91"/>
      <c r="N28" s="91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</row>
    <row r="29" spans="1:32">
      <c r="A29" s="230" t="s">
        <v>90</v>
      </c>
      <c r="B29" s="99"/>
      <c r="C29" s="99" t="s">
        <v>0</v>
      </c>
      <c r="D29" s="181"/>
      <c r="E29" s="99"/>
      <c r="F29" s="99"/>
      <c r="G29" s="181"/>
      <c r="H29" s="99"/>
      <c r="I29" s="99"/>
      <c r="J29" s="99"/>
      <c r="K29" s="90"/>
      <c r="L29" s="91"/>
      <c r="M29" s="91"/>
      <c r="N29" s="91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</row>
    <row r="30" spans="1:32">
      <c r="A30" s="99"/>
      <c r="B30" s="99"/>
      <c r="C30" s="99"/>
      <c r="D30" s="181"/>
      <c r="E30" s="99"/>
      <c r="F30" s="99"/>
      <c r="G30" s="181"/>
      <c r="H30" s="99"/>
      <c r="I30" s="99"/>
      <c r="J30" s="99"/>
      <c r="K30" s="90"/>
      <c r="L30" s="91"/>
      <c r="M30" s="91"/>
      <c r="N30" s="91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</row>
    <row r="31" spans="1:32">
      <c r="A31" s="99" t="s">
        <v>41</v>
      </c>
      <c r="B31" s="99"/>
      <c r="C31" s="97">
        <v>93524</v>
      </c>
      <c r="D31" s="237">
        <f>'Exhibit No.__(JAP-Tariff)'!E22</f>
        <v>52.3</v>
      </c>
      <c r="E31" s="99"/>
      <c r="F31" s="181">
        <f>ROUND(D31*$C31,0)</f>
        <v>4891305</v>
      </c>
      <c r="G31" s="237">
        <f>ROUND(D31*(1+$M$47),2)</f>
        <v>55.27</v>
      </c>
      <c r="H31" s="99"/>
      <c r="I31" s="181">
        <f>ROUND(G31*$C31,0)</f>
        <v>5169071</v>
      </c>
      <c r="J31" s="181"/>
      <c r="K31" s="329" t="s">
        <v>86</v>
      </c>
      <c r="L31" s="329"/>
      <c r="M31" s="329"/>
      <c r="O31" s="192"/>
      <c r="P31" s="192"/>
      <c r="Q31" s="192"/>
      <c r="R31" s="193"/>
      <c r="S31" s="193"/>
      <c r="T31" s="193"/>
      <c r="U31" s="90"/>
      <c r="V31" s="90"/>
      <c r="W31" s="90"/>
      <c r="X31" s="90"/>
      <c r="Y31" s="90"/>
      <c r="Z31" s="90"/>
      <c r="AA31" s="90"/>
      <c r="AB31" s="90"/>
      <c r="AC31" s="90"/>
      <c r="AD31" s="90"/>
    </row>
    <row r="32" spans="1:32">
      <c r="A32" s="99" t="s">
        <v>44</v>
      </c>
      <c r="B32" s="99"/>
      <c r="C32" s="97"/>
      <c r="D32" s="42"/>
      <c r="E32" s="181"/>
      <c r="F32" s="181"/>
      <c r="G32" s="237"/>
      <c r="H32" s="181"/>
      <c r="I32" s="181"/>
      <c r="J32" s="181"/>
      <c r="K32" s="90"/>
      <c r="L32" s="91"/>
      <c r="M32" s="91"/>
      <c r="O32" s="192"/>
      <c r="P32" s="192"/>
      <c r="Q32" s="192"/>
      <c r="R32" s="193"/>
      <c r="S32" s="193"/>
      <c r="T32" s="193"/>
      <c r="U32" s="90"/>
      <c r="V32" s="90"/>
      <c r="W32" s="90"/>
      <c r="X32" s="90"/>
      <c r="Y32" s="90"/>
      <c r="Z32" s="90"/>
      <c r="AA32" s="90"/>
      <c r="AB32" s="90"/>
      <c r="AC32" s="90"/>
      <c r="AD32" s="90"/>
    </row>
    <row r="33" spans="1:30">
      <c r="A33" s="189" t="s">
        <v>92</v>
      </c>
      <c r="B33" s="99"/>
      <c r="C33" s="97">
        <v>765246558</v>
      </c>
      <c r="D33" s="239">
        <f>'Exhibit No.__(JAP-Tariff)'!E24</f>
        <v>9.0753E-2</v>
      </c>
      <c r="E33" s="181"/>
      <c r="F33" s="181">
        <f>ROUND($C33*D33,0)</f>
        <v>69448421</v>
      </c>
      <c r="G33" s="239">
        <f>ROUND(G35+(1+$L$59)*(D33-D35),6)+L49</f>
        <v>9.4302999999999998E-2</v>
      </c>
      <c r="H33" s="181"/>
      <c r="I33" s="181">
        <f>ROUND($C33*G33,0)</f>
        <v>72165046</v>
      </c>
      <c r="J33" s="181"/>
      <c r="K33" s="330" t="s">
        <v>611</v>
      </c>
      <c r="L33" s="329"/>
      <c r="M33" s="329"/>
      <c r="O33" s="192"/>
      <c r="P33" s="192"/>
      <c r="Q33" s="192"/>
      <c r="R33" s="193"/>
      <c r="S33" s="193"/>
      <c r="T33" s="193"/>
      <c r="U33" s="90"/>
      <c r="V33" s="90"/>
      <c r="W33" s="90"/>
      <c r="X33" s="90"/>
      <c r="Y33" s="90"/>
      <c r="Z33" s="90"/>
      <c r="AA33" s="90"/>
      <c r="AB33" s="90"/>
      <c r="AC33" s="90"/>
      <c r="AD33" s="90"/>
    </row>
    <row r="34" spans="1:30">
      <c r="A34" s="189" t="s">
        <v>91</v>
      </c>
      <c r="B34" s="99"/>
      <c r="C34" s="97">
        <v>756937872.5</v>
      </c>
      <c r="D34" s="239">
        <f>'Exhibit No.__(JAP-Tariff)'!E25</f>
        <v>8.2225999999999994E-2</v>
      </c>
      <c r="E34" s="181"/>
      <c r="F34" s="181">
        <f t="shared" ref="F34:F37" si="4">ROUND($C34*D34,0)</f>
        <v>62239974</v>
      </c>
      <c r="G34" s="239">
        <f>ROUND(G35+(1+$L$59)*(D34-D35),6)+L49</f>
        <v>8.4644999999999998E-2</v>
      </c>
      <c r="H34" s="181"/>
      <c r="I34" s="181">
        <f t="shared" ref="I34:I38" si="5">ROUND($C34*G34,0)</f>
        <v>64071006</v>
      </c>
      <c r="J34" s="181"/>
      <c r="K34" s="330" t="s">
        <v>611</v>
      </c>
      <c r="L34" s="329"/>
      <c r="M34" s="329"/>
      <c r="O34" s="192"/>
      <c r="P34" s="192"/>
      <c r="Q34" s="192"/>
      <c r="R34" s="193"/>
      <c r="S34" s="193"/>
      <c r="T34" s="193"/>
      <c r="U34" s="90"/>
      <c r="V34" s="90"/>
      <c r="W34" s="90"/>
      <c r="X34" s="90"/>
      <c r="Y34" s="90"/>
      <c r="Z34" s="90"/>
      <c r="AA34" s="90"/>
      <c r="AB34" s="90"/>
      <c r="AC34" s="90"/>
      <c r="AD34" s="90"/>
    </row>
    <row r="35" spans="1:30">
      <c r="A35" s="189" t="s">
        <v>93</v>
      </c>
      <c r="B35" s="99"/>
      <c r="C35" s="97">
        <v>1462231232</v>
      </c>
      <c r="D35" s="239">
        <f>'Exhibit No.__(JAP-Tariff)'!E26</f>
        <v>6.4072000000000004E-2</v>
      </c>
      <c r="E35" s="181"/>
      <c r="F35" s="181">
        <f t="shared" si="4"/>
        <v>93688079</v>
      </c>
      <c r="G35" s="260">
        <f>ROUND(D35*(1+$M$47),6)</f>
        <v>6.7708000000000004E-2</v>
      </c>
      <c r="H35" s="181"/>
      <c r="I35" s="181">
        <f t="shared" si="5"/>
        <v>99004752</v>
      </c>
      <c r="J35" s="181"/>
      <c r="K35" s="329" t="s">
        <v>86</v>
      </c>
      <c r="L35" s="329"/>
      <c r="M35" s="329"/>
      <c r="O35" s="192"/>
      <c r="P35" s="192"/>
      <c r="Q35" s="192"/>
      <c r="R35" s="193"/>
      <c r="S35" s="193"/>
      <c r="T35" s="193"/>
      <c r="U35" s="90"/>
      <c r="V35" s="90"/>
      <c r="W35" s="90"/>
      <c r="X35" s="90"/>
      <c r="Y35" s="90"/>
      <c r="Z35" s="90"/>
      <c r="AA35" s="90"/>
      <c r="AB35" s="90"/>
      <c r="AC35" s="90"/>
      <c r="AD35" s="90"/>
    </row>
    <row r="36" spans="1:30">
      <c r="A36" s="223" t="s">
        <v>34</v>
      </c>
      <c r="B36" s="99"/>
      <c r="C36" s="112">
        <f>SUM(C33:C35)</f>
        <v>2984415662.5</v>
      </c>
      <c r="D36" s="253"/>
      <c r="E36" s="99"/>
      <c r="F36" s="115">
        <f>SUM(F33:F35)</f>
        <v>225376474</v>
      </c>
      <c r="G36" s="253"/>
      <c r="H36" s="99"/>
      <c r="I36" s="115">
        <f>SUM(I33:I35)</f>
        <v>235240804</v>
      </c>
      <c r="J36" s="181"/>
      <c r="K36" s="90"/>
      <c r="L36" s="91"/>
      <c r="M36" s="91"/>
      <c r="O36" s="192"/>
      <c r="P36" s="192"/>
      <c r="Q36" s="192"/>
      <c r="R36" s="193"/>
      <c r="S36" s="193"/>
      <c r="T36" s="193"/>
      <c r="U36" s="90"/>
      <c r="V36" s="90"/>
      <c r="W36" s="90"/>
      <c r="X36" s="90"/>
      <c r="Y36" s="90"/>
      <c r="Z36" s="90"/>
      <c r="AA36" s="90"/>
      <c r="AB36" s="90"/>
      <c r="AC36" s="90"/>
      <c r="AD36" s="90"/>
    </row>
    <row r="37" spans="1:30">
      <c r="A37" s="189" t="s">
        <v>77</v>
      </c>
      <c r="B37" s="99"/>
      <c r="C37" s="97">
        <v>-749524.63373911753</v>
      </c>
      <c r="D37" s="239">
        <f>D35</f>
        <v>6.4072000000000004E-2</v>
      </c>
      <c r="E37" s="99"/>
      <c r="F37" s="181">
        <f t="shared" si="4"/>
        <v>-48024</v>
      </c>
      <c r="G37" s="239">
        <f>G35</f>
        <v>6.7708000000000004E-2</v>
      </c>
      <c r="H37" s="99"/>
      <c r="I37" s="181">
        <f t="shared" si="5"/>
        <v>-50749</v>
      </c>
      <c r="J37" s="181"/>
      <c r="K37" s="329" t="s">
        <v>86</v>
      </c>
      <c r="L37" s="329"/>
      <c r="M37" s="329"/>
      <c r="O37" s="192"/>
      <c r="P37" s="192"/>
      <c r="Q37" s="192"/>
      <c r="R37" s="193"/>
      <c r="S37" s="193"/>
      <c r="T37" s="193"/>
      <c r="U37" s="90"/>
      <c r="V37" s="90"/>
      <c r="W37" s="90"/>
      <c r="X37" s="90"/>
      <c r="Y37" s="90"/>
      <c r="Z37" s="90"/>
      <c r="AA37" s="90"/>
      <c r="AB37" s="90"/>
      <c r="AC37" s="90"/>
      <c r="AD37" s="90"/>
    </row>
    <row r="38" spans="1:30">
      <c r="A38" s="118" t="s">
        <v>79</v>
      </c>
      <c r="B38" s="99"/>
      <c r="C38" s="97">
        <v>4383418.441164609</v>
      </c>
      <c r="D38" s="239">
        <f>ROUND(F38/C38,6)</f>
        <v>9.5270999999999995E-2</v>
      </c>
      <c r="E38" s="99"/>
      <c r="F38" s="181">
        <v>417613</v>
      </c>
      <c r="G38" s="239">
        <f>ROUND(D38*(1+$M$47),6)</f>
        <v>0.100677</v>
      </c>
      <c r="H38" s="99"/>
      <c r="I38" s="181">
        <f t="shared" si="5"/>
        <v>441309</v>
      </c>
      <c r="J38" s="100"/>
      <c r="K38" s="329" t="s">
        <v>86</v>
      </c>
      <c r="L38" s="329"/>
      <c r="M38" s="329"/>
      <c r="O38" s="192"/>
      <c r="P38" s="192"/>
      <c r="Q38" s="192"/>
      <c r="R38" s="193"/>
      <c r="S38" s="193"/>
      <c r="T38" s="193"/>
      <c r="U38" s="90"/>
      <c r="V38" s="90"/>
      <c r="W38" s="90"/>
      <c r="X38" s="90"/>
      <c r="Y38" s="90"/>
      <c r="Z38" s="90"/>
      <c r="AA38" s="90"/>
      <c r="AB38" s="90"/>
      <c r="AC38" s="90"/>
      <c r="AD38" s="90"/>
    </row>
    <row r="39" spans="1:30">
      <c r="A39" s="223" t="s">
        <v>34</v>
      </c>
      <c r="B39" s="99"/>
      <c r="C39" s="112">
        <f>SUM(C36:C38)</f>
        <v>2988049556.3074255</v>
      </c>
      <c r="D39" s="99"/>
      <c r="E39" s="99"/>
      <c r="F39" s="115">
        <f>SUM(F36:F38)</f>
        <v>225746063</v>
      </c>
      <c r="G39" s="99"/>
      <c r="H39" s="99"/>
      <c r="I39" s="115">
        <f>SUM(I36:I38)</f>
        <v>235631364</v>
      </c>
      <c r="J39" s="100"/>
      <c r="K39" s="40"/>
      <c r="L39" s="114"/>
      <c r="M39" s="91"/>
      <c r="O39" s="181"/>
      <c r="P39" s="181"/>
      <c r="Q39" s="181"/>
      <c r="R39" s="193"/>
      <c r="S39" s="193"/>
      <c r="T39" s="193"/>
      <c r="U39" s="90"/>
      <c r="V39" s="90"/>
      <c r="W39" s="90"/>
      <c r="X39" s="90"/>
      <c r="Y39" s="90"/>
      <c r="Z39" s="90"/>
      <c r="AA39" s="90"/>
      <c r="AB39" s="90"/>
      <c r="AC39" s="90"/>
      <c r="AD39" s="90"/>
    </row>
    <row r="40" spans="1:30">
      <c r="A40" s="99" t="s">
        <v>43</v>
      </c>
      <c r="B40" s="99"/>
      <c r="C40" s="97"/>
      <c r="D40" s="244"/>
      <c r="E40" s="99"/>
      <c r="F40" s="181"/>
      <c r="G40" s="244"/>
      <c r="H40" s="99"/>
      <c r="I40" s="181"/>
      <c r="J40" s="181"/>
      <c r="K40" s="90"/>
      <c r="L40" s="91"/>
      <c r="M40" s="91"/>
      <c r="O40" s="192"/>
      <c r="P40" s="192"/>
      <c r="Q40" s="192"/>
      <c r="R40" s="193"/>
      <c r="S40" s="193"/>
      <c r="T40" s="193"/>
      <c r="U40" s="90"/>
      <c r="V40" s="90"/>
      <c r="W40" s="90"/>
      <c r="X40" s="90"/>
      <c r="Y40" s="90"/>
      <c r="Z40" s="90"/>
      <c r="AA40" s="90"/>
      <c r="AB40" s="90"/>
      <c r="AC40" s="90"/>
      <c r="AD40" s="90"/>
    </row>
    <row r="41" spans="1:30">
      <c r="A41" s="189" t="s">
        <v>94</v>
      </c>
      <c r="B41" s="99"/>
      <c r="C41" s="97">
        <v>2368063</v>
      </c>
      <c r="D41" s="237">
        <f>'Exhibit No.__(JAP-Tariff)'!E29</f>
        <v>9.42</v>
      </c>
      <c r="E41" s="99"/>
      <c r="F41" s="181">
        <f>ROUND(D41*$C41,0)</f>
        <v>22307153</v>
      </c>
      <c r="G41" s="237">
        <f>ROUND(D41*(1+$L$59),2)</f>
        <v>10.67</v>
      </c>
      <c r="H41" s="99"/>
      <c r="I41" s="181">
        <f>ROUND(G41*$C41,0)</f>
        <v>25267232</v>
      </c>
      <c r="J41" s="181"/>
      <c r="K41" s="329" t="s">
        <v>305</v>
      </c>
      <c r="L41" s="329"/>
      <c r="M41" s="329"/>
      <c r="O41" s="192"/>
      <c r="P41" s="192"/>
      <c r="Q41" s="192"/>
      <c r="R41" s="193"/>
      <c r="S41" s="193"/>
      <c r="T41" s="193"/>
      <c r="U41" s="90"/>
      <c r="V41" s="90"/>
      <c r="W41" s="90"/>
      <c r="X41" s="90"/>
      <c r="Y41" s="90"/>
      <c r="Z41" s="90"/>
      <c r="AA41" s="90"/>
      <c r="AB41" s="90"/>
      <c r="AC41" s="90"/>
      <c r="AD41" s="90"/>
    </row>
    <row r="42" spans="1:30">
      <c r="A42" s="189" t="s">
        <v>95</v>
      </c>
      <c r="B42" s="99"/>
      <c r="C42" s="97">
        <v>2271334</v>
      </c>
      <c r="D42" s="237">
        <f>'Exhibit No.__(JAP-Tariff)'!E30</f>
        <v>6.29</v>
      </c>
      <c r="E42" s="99"/>
      <c r="F42" s="181">
        <f>ROUND(D42*$C42,0)</f>
        <v>14286691</v>
      </c>
      <c r="G42" s="237">
        <f>ROUND(D42*(1+$L$59),2)</f>
        <v>7.12</v>
      </c>
      <c r="H42" s="99"/>
      <c r="I42" s="181">
        <f>ROUND(G42*$C42,0)</f>
        <v>16171898</v>
      </c>
      <c r="J42" s="181"/>
      <c r="K42" s="329" t="s">
        <v>305</v>
      </c>
      <c r="L42" s="329"/>
      <c r="M42" s="329"/>
      <c r="O42" s="192"/>
      <c r="P42" s="192"/>
      <c r="Q42" s="192"/>
      <c r="R42" s="193"/>
      <c r="S42" s="193"/>
      <c r="T42" s="193"/>
      <c r="U42" s="90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>
      <c r="A43" s="223" t="s">
        <v>34</v>
      </c>
      <c r="B43" s="99"/>
      <c r="C43" s="112">
        <f>SUM(C41:C42)</f>
        <v>4639397</v>
      </c>
      <c r="D43" s="244"/>
      <c r="E43" s="99"/>
      <c r="F43" s="115">
        <f>SUM(F41:F42)</f>
        <v>36593844</v>
      </c>
      <c r="G43" s="244"/>
      <c r="H43" s="99"/>
      <c r="I43" s="115">
        <f>SUM(I41:I42)</f>
        <v>41439130</v>
      </c>
      <c r="J43" s="181"/>
      <c r="K43" s="90"/>
      <c r="L43" s="91"/>
      <c r="M43" s="91"/>
      <c r="N43" s="91"/>
      <c r="O43" s="192"/>
      <c r="P43" s="192"/>
      <c r="Q43" s="192"/>
      <c r="R43" s="193"/>
      <c r="S43" s="193"/>
      <c r="T43" s="193"/>
      <c r="U43" s="90"/>
      <c r="V43" s="90"/>
      <c r="W43" s="90"/>
      <c r="X43" s="90"/>
      <c r="Y43" s="90"/>
      <c r="Z43" s="90"/>
      <c r="AA43" s="90"/>
      <c r="AB43" s="90"/>
      <c r="AC43" s="90"/>
      <c r="AD43" s="90"/>
    </row>
    <row r="44" spans="1:30">
      <c r="A44" s="99"/>
      <c r="B44" s="99"/>
      <c r="C44" s="109"/>
      <c r="D44" s="109"/>
      <c r="E44" s="99"/>
      <c r="F44" s="100"/>
      <c r="G44" s="109"/>
      <c r="H44" s="99"/>
      <c r="I44" s="100"/>
      <c r="J44" s="100"/>
      <c r="K44" s="40"/>
      <c r="L44" s="114"/>
      <c r="M44" s="91"/>
      <c r="N44" s="91"/>
      <c r="O44" s="193"/>
      <c r="P44" s="193"/>
      <c r="Q44" s="193"/>
      <c r="R44" s="193"/>
      <c r="S44" s="193"/>
      <c r="T44" s="193"/>
      <c r="U44" s="90"/>
      <c r="V44" s="90"/>
      <c r="W44" s="90"/>
      <c r="X44" s="90"/>
      <c r="Y44" s="90"/>
      <c r="Z44" s="90"/>
      <c r="AA44" s="90"/>
      <c r="AB44" s="90"/>
      <c r="AC44" s="90"/>
      <c r="AD44" s="90"/>
    </row>
    <row r="45" spans="1:30">
      <c r="A45" s="99" t="s">
        <v>96</v>
      </c>
      <c r="B45" s="99"/>
      <c r="C45" s="97">
        <v>699691076</v>
      </c>
      <c r="D45" s="245">
        <f>'Exhibit No.__(JAP-Tariff)'!E32</f>
        <v>2.96E-3</v>
      </c>
      <c r="E45" s="99"/>
      <c r="F45" s="181">
        <f>ROUND(D45*$C45,0)</f>
        <v>2071086</v>
      </c>
      <c r="G45" s="245">
        <f>ROUND(D45*(1+$L$59),5)</f>
        <v>3.3500000000000001E-3</v>
      </c>
      <c r="H45" s="99"/>
      <c r="I45" s="181">
        <f>ROUND(G45*$C45,0)</f>
        <v>2343965</v>
      </c>
      <c r="J45" s="100"/>
      <c r="K45" s="329" t="s">
        <v>305</v>
      </c>
      <c r="L45" s="329"/>
      <c r="M45" s="329"/>
      <c r="N45" s="91"/>
      <c r="O45" s="192"/>
      <c r="P45" s="192"/>
      <c r="Q45" s="192"/>
      <c r="R45" s="193"/>
      <c r="S45" s="193"/>
      <c r="T45" s="193"/>
      <c r="U45" s="9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>
      <c r="A46" s="99"/>
      <c r="B46" s="99"/>
      <c r="C46" s="109"/>
      <c r="D46" s="109"/>
      <c r="E46" s="99"/>
      <c r="F46" s="100"/>
      <c r="G46" s="109"/>
      <c r="H46" s="99"/>
      <c r="I46" s="100"/>
      <c r="J46" s="100"/>
      <c r="N46" s="91"/>
      <c r="O46" s="193"/>
      <c r="P46" s="193"/>
      <c r="Q46" s="193"/>
      <c r="R46" s="193"/>
      <c r="S46" s="193"/>
      <c r="T46" s="193"/>
      <c r="U46" s="90"/>
      <c r="V46" s="90"/>
      <c r="W46" s="90"/>
      <c r="X46" s="90"/>
      <c r="Y46" s="90"/>
      <c r="Z46" s="90"/>
      <c r="AA46" s="90"/>
      <c r="AB46" s="90"/>
      <c r="AC46" s="90"/>
      <c r="AD46" s="90"/>
    </row>
    <row r="47" spans="1:30" ht="16.5" thickBot="1">
      <c r="A47" s="99" t="s">
        <v>38</v>
      </c>
      <c r="B47" s="99"/>
      <c r="C47" s="109"/>
      <c r="D47" s="109"/>
      <c r="E47" s="99"/>
      <c r="F47" s="105">
        <f>SUM(F31,F39,F43,F45)</f>
        <v>269302298</v>
      </c>
      <c r="G47" s="109"/>
      <c r="H47" s="99"/>
      <c r="I47" s="105">
        <f>SUM(I31,I39,I43,I45)</f>
        <v>284583530</v>
      </c>
      <c r="J47" s="100"/>
      <c r="K47" s="116" t="s">
        <v>113</v>
      </c>
      <c r="L47" s="107">
        <f>'Exhibit No.__(JAP-Rate Spread)'!K12*1000</f>
        <v>285947243.2128557</v>
      </c>
      <c r="M47" s="108">
        <f>L47/SUM(F136,F47)-1</f>
        <v>5.6743560174646879E-2</v>
      </c>
      <c r="N47" s="91"/>
      <c r="O47" s="193"/>
      <c r="P47" s="193"/>
      <c r="Q47" s="193"/>
      <c r="R47" s="193"/>
      <c r="S47" s="193"/>
      <c r="T47" s="193"/>
      <c r="U47" s="90"/>
      <c r="V47" s="90"/>
      <c r="W47" s="90"/>
      <c r="X47" s="90"/>
      <c r="Y47" s="90"/>
      <c r="Z47" s="90"/>
      <c r="AA47" s="90"/>
      <c r="AB47" s="90"/>
      <c r="AC47" s="90"/>
      <c r="AD47" s="90"/>
    </row>
    <row r="48" spans="1:30" ht="16.5" thickTop="1">
      <c r="A48" s="99"/>
      <c r="B48" s="117"/>
      <c r="C48" s="109"/>
      <c r="D48" s="109"/>
      <c r="E48" s="99"/>
      <c r="F48" s="181">
        <v>269302316</v>
      </c>
      <c r="G48" s="109"/>
      <c r="H48" s="99"/>
      <c r="I48" s="181"/>
      <c r="J48" s="181"/>
      <c r="K48" s="110" t="s">
        <v>37</v>
      </c>
      <c r="L48" s="111">
        <f>L47-I136-I47</f>
        <v>-31.787144303321838</v>
      </c>
      <c r="M48" s="43" t="s">
        <v>0</v>
      </c>
      <c r="N48" s="91"/>
      <c r="O48" s="254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</row>
    <row r="49" spans="1:30">
      <c r="A49" s="173" t="s">
        <v>330</v>
      </c>
      <c r="B49" s="174"/>
      <c r="C49" s="174"/>
      <c r="D49" s="109"/>
      <c r="E49" s="99"/>
      <c r="F49" s="181"/>
      <c r="J49" s="181"/>
      <c r="K49" s="201" t="s">
        <v>599</v>
      </c>
      <c r="L49" s="137">
        <f>P3</f>
        <v>-3.627E-3</v>
      </c>
      <c r="M49" s="137">
        <f>L48/SUM(C33:C34)</f>
        <v>-2.0882584045929669E-8</v>
      </c>
      <c r="N49" s="91"/>
      <c r="O49" s="254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</row>
    <row r="50" spans="1:30">
      <c r="A50" s="91"/>
      <c r="C50" s="91"/>
      <c r="D50" s="90"/>
      <c r="K50" s="178" t="s">
        <v>307</v>
      </c>
      <c r="L50" s="96">
        <f>'Exhibit No.__(JAP-Rate Spread)'!M12</f>
        <v>15354401.212855726</v>
      </c>
      <c r="O50" s="254"/>
      <c r="P50" s="90"/>
      <c r="Q50" s="90"/>
    </row>
    <row r="51" spans="1:30">
      <c r="A51" s="172" t="s">
        <v>318</v>
      </c>
      <c r="D51" s="199"/>
      <c r="F51" s="199">
        <f>D33-D35</f>
        <v>2.6680999999999996E-2</v>
      </c>
      <c r="G51" s="199">
        <f>G33-G35</f>
        <v>2.6594999999999994E-2</v>
      </c>
      <c r="K51" s="291" t="s">
        <v>311</v>
      </c>
      <c r="L51" s="175">
        <f>+I136-F136</f>
        <v>73201</v>
      </c>
      <c r="O51" s="254"/>
      <c r="P51" s="90"/>
      <c r="Q51" s="90"/>
    </row>
    <row r="52" spans="1:30">
      <c r="A52" s="172" t="s">
        <v>319</v>
      </c>
      <c r="D52" s="199"/>
      <c r="F52" s="199">
        <f>D34-D35</f>
        <v>1.815399999999999E-2</v>
      </c>
      <c r="G52" s="199">
        <f>G34-G35</f>
        <v>1.6936999999999994E-2</v>
      </c>
      <c r="K52" s="291" t="s">
        <v>310</v>
      </c>
      <c r="L52" s="175">
        <f>+L50-L51</f>
        <v>15281200.212855726</v>
      </c>
      <c r="O52" s="254"/>
      <c r="P52" s="90"/>
      <c r="Q52" s="90"/>
    </row>
    <row r="53" spans="1:30">
      <c r="A53" s="172" t="s">
        <v>316</v>
      </c>
      <c r="D53" s="199"/>
      <c r="F53" s="91">
        <f>C33</f>
        <v>765246558</v>
      </c>
      <c r="G53" s="96">
        <f>F53</f>
        <v>765246558</v>
      </c>
      <c r="K53" s="291" t="s">
        <v>312</v>
      </c>
      <c r="L53" s="175">
        <f>-(I31-F31)</f>
        <v>-277766</v>
      </c>
      <c r="O53" s="254"/>
      <c r="P53" s="90"/>
      <c r="Q53" s="90"/>
    </row>
    <row r="54" spans="1:30">
      <c r="A54" s="172" t="s">
        <v>317</v>
      </c>
      <c r="D54" s="199"/>
      <c r="F54" s="91">
        <f>C34</f>
        <v>756937872.5</v>
      </c>
      <c r="G54" s="96">
        <f>F54</f>
        <v>756937872.5</v>
      </c>
      <c r="K54" s="291" t="s">
        <v>597</v>
      </c>
      <c r="L54" s="175">
        <f>-(I35-F35)</f>
        <v>-5316673</v>
      </c>
      <c r="O54" s="254"/>
      <c r="P54" s="90"/>
      <c r="Q54" s="90"/>
    </row>
    <row r="55" spans="1:30">
      <c r="A55" s="172" t="s">
        <v>315</v>
      </c>
      <c r="D55" s="91"/>
      <c r="F55" s="254">
        <f>F53*F51+F52*F54</f>
        <v>34158993.551362991</v>
      </c>
      <c r="G55" s="254">
        <f>G53*G51+G52*G54</f>
        <v>33171988.956542492</v>
      </c>
      <c r="K55" s="291" t="s">
        <v>598</v>
      </c>
      <c r="L55" s="175">
        <f>-(I37-F37)</f>
        <v>2725</v>
      </c>
      <c r="O55" s="254"/>
      <c r="P55" s="90"/>
      <c r="Q55" s="90"/>
    </row>
    <row r="56" spans="1:30">
      <c r="A56" s="172" t="s">
        <v>331</v>
      </c>
      <c r="D56" s="254"/>
      <c r="F56" s="254">
        <f>SUM(F43,F45)</f>
        <v>38664930</v>
      </c>
      <c r="G56" s="254">
        <f>SUM(I43,I45)</f>
        <v>43783095</v>
      </c>
      <c r="K56" s="291" t="s">
        <v>313</v>
      </c>
      <c r="L56" s="175">
        <f>-(I38-F38)</f>
        <v>-23696</v>
      </c>
      <c r="O56" s="254"/>
      <c r="P56" s="90"/>
      <c r="Q56" s="90"/>
    </row>
    <row r="57" spans="1:30">
      <c r="A57" s="172" t="s">
        <v>332</v>
      </c>
      <c r="D57" s="90"/>
      <c r="F57" s="254">
        <f>SUM(F55:F56)</f>
        <v>72823923.551362991</v>
      </c>
      <c r="G57" s="254">
        <f>SUM(G55:G56)</f>
        <v>76955083.956542492</v>
      </c>
      <c r="K57" s="291" t="s">
        <v>314</v>
      </c>
      <c r="L57" s="175">
        <f>SUM(L52:L56)</f>
        <v>9665790.2128557265</v>
      </c>
      <c r="O57" s="254"/>
      <c r="P57" s="90"/>
      <c r="Q57" s="90"/>
    </row>
    <row r="58" spans="1:30">
      <c r="D58" s="90"/>
      <c r="G58" s="175"/>
      <c r="K58" s="291" t="s">
        <v>320</v>
      </c>
      <c r="L58" s="175">
        <f>F57</f>
        <v>72823923.551362991</v>
      </c>
    </row>
    <row r="59" spans="1:30">
      <c r="A59" s="172" t="s">
        <v>442</v>
      </c>
      <c r="C59" s="254"/>
      <c r="D59" s="199">
        <f>ROUND(SUM(F33:F34)/SUM($C$33:$C$34),6)</f>
        <v>8.6513000000000007E-2</v>
      </c>
      <c r="G59" s="199">
        <f>ROUND(SUM(I33:I34)/SUM($C$33:$C$34),6)</f>
        <v>8.9499999999999996E-2</v>
      </c>
      <c r="K59" s="291" t="s">
        <v>306</v>
      </c>
      <c r="L59" s="25">
        <f>+L57/L58</f>
        <v>0.13272822640541207</v>
      </c>
    </row>
    <row r="60" spans="1:30">
      <c r="A60" s="172" t="s">
        <v>441</v>
      </c>
      <c r="C60" s="254"/>
      <c r="D60" s="255">
        <f>ROUND(SUM(F43)/SUM($C$43),2)</f>
        <v>7.89</v>
      </c>
      <c r="G60" s="255">
        <f>ROUND(SUM(I43)/SUM($C$43),2)</f>
        <v>8.93</v>
      </c>
      <c r="K60" s="291"/>
      <c r="L60" s="101"/>
    </row>
    <row r="61" spans="1:30">
      <c r="D61" s="90"/>
    </row>
    <row r="62" spans="1:30">
      <c r="A62" s="230" t="s">
        <v>107</v>
      </c>
      <c r="B62" s="99"/>
      <c r="C62" s="97"/>
      <c r="D62" s="181"/>
      <c r="E62" s="99"/>
      <c r="F62" s="99"/>
      <c r="G62" s="181"/>
      <c r="H62" s="99"/>
      <c r="I62" s="181" t="s">
        <v>0</v>
      </c>
      <c r="J62" s="181"/>
      <c r="L62" s="178"/>
      <c r="M62" s="178"/>
    </row>
    <row r="63" spans="1:30">
      <c r="A63" s="230" t="s">
        <v>99</v>
      </c>
      <c r="B63" s="99"/>
      <c r="C63" s="99" t="s">
        <v>0</v>
      </c>
      <c r="D63" s="181"/>
      <c r="E63" s="99"/>
      <c r="F63" s="99"/>
      <c r="G63" s="181"/>
      <c r="H63" s="99"/>
      <c r="I63" s="99"/>
      <c r="J63" s="99"/>
      <c r="L63" s="178"/>
      <c r="M63" s="178"/>
    </row>
    <row r="64" spans="1:30">
      <c r="A64" s="99"/>
      <c r="B64" s="99"/>
      <c r="C64" s="99"/>
      <c r="D64" s="181"/>
      <c r="E64" s="99"/>
      <c r="F64" s="99"/>
      <c r="G64" s="181"/>
      <c r="H64" s="99"/>
      <c r="I64" s="99"/>
      <c r="J64" s="99"/>
      <c r="K64" s="90"/>
      <c r="L64" s="91"/>
      <c r="M64" s="91"/>
      <c r="P64" s="90"/>
      <c r="Q64" s="90"/>
      <c r="R64" s="90"/>
      <c r="S64" s="90"/>
      <c r="T64" s="90"/>
    </row>
    <row r="65" spans="1:20">
      <c r="A65" s="99" t="s">
        <v>41</v>
      </c>
      <c r="B65" s="99"/>
      <c r="C65" s="97">
        <v>10371</v>
      </c>
      <c r="D65" s="237">
        <f>'Exhibit No.__(JAP-Tariff)'!E35</f>
        <v>105.74</v>
      </c>
      <c r="E65" s="99"/>
      <c r="F65" s="181">
        <f>ROUND(D65*$C65,0)</f>
        <v>1096630</v>
      </c>
      <c r="G65" s="237">
        <f>ROUND(D65*(1+$M$81),2)</f>
        <v>111.74</v>
      </c>
      <c r="H65" s="99"/>
      <c r="I65" s="181">
        <f>ROUND(G65*$C65,0)</f>
        <v>1158856</v>
      </c>
      <c r="J65" s="181"/>
      <c r="K65" s="329" t="s">
        <v>86</v>
      </c>
      <c r="L65" s="329"/>
      <c r="M65" s="329"/>
      <c r="P65" s="192"/>
      <c r="Q65" s="192"/>
      <c r="R65" s="193"/>
      <c r="S65" s="193">
        <f>SUM(O65:R65)</f>
        <v>0</v>
      </c>
      <c r="T65" s="193">
        <f>S65-F65</f>
        <v>-1096630</v>
      </c>
    </row>
    <row r="66" spans="1:20">
      <c r="A66" s="99" t="s">
        <v>44</v>
      </c>
      <c r="B66" s="99"/>
      <c r="C66" s="97"/>
      <c r="D66" s="42"/>
      <c r="E66" s="181"/>
      <c r="F66" s="181"/>
      <c r="G66" s="42"/>
      <c r="H66" s="181"/>
      <c r="I66" s="181"/>
      <c r="J66" s="181"/>
      <c r="K66" s="90"/>
      <c r="L66" s="91"/>
      <c r="M66" s="91"/>
    </row>
    <row r="67" spans="1:20">
      <c r="A67" s="189" t="s">
        <v>49</v>
      </c>
      <c r="B67" s="99"/>
      <c r="C67" s="97">
        <v>1929564143</v>
      </c>
      <c r="D67" s="239">
        <f>'Exhibit No.__(JAP-Tariff)'!E37</f>
        <v>5.7180999999999996E-2</v>
      </c>
      <c r="E67" s="181"/>
      <c r="F67" s="181">
        <f t="shared" ref="F67" si="6">ROUND($C67*D67,0)</f>
        <v>110334407</v>
      </c>
      <c r="G67" s="239">
        <f>ROUND((1+$L$109)*'Exhibit No.__(JAP-PV RD)'!G17,6)+L83</f>
        <v>6.0413000000000001E-2</v>
      </c>
      <c r="H67" s="181"/>
      <c r="I67" s="181">
        <f t="shared" ref="I67" si="7">ROUND($C67*G67,0)</f>
        <v>116570759</v>
      </c>
      <c r="J67" s="181"/>
      <c r="K67" s="329" t="s">
        <v>114</v>
      </c>
      <c r="L67" s="329"/>
      <c r="M67" s="329"/>
    </row>
    <row r="68" spans="1:20">
      <c r="A68" s="223" t="s">
        <v>34</v>
      </c>
      <c r="B68" s="99"/>
      <c r="C68" s="112">
        <f>SUM(C67:C67)</f>
        <v>1929564143</v>
      </c>
      <c r="D68" s="253"/>
      <c r="E68" s="99"/>
      <c r="F68" s="115">
        <f>SUM(F67:F67)</f>
        <v>110334407</v>
      </c>
      <c r="G68" s="253"/>
      <c r="H68" s="99"/>
      <c r="I68" s="115">
        <f>SUM(I67:I67)</f>
        <v>116570759</v>
      </c>
      <c r="J68" s="181"/>
      <c r="K68" s="90"/>
      <c r="L68" s="91"/>
      <c r="M68" s="91"/>
    </row>
    <row r="69" spans="1:20">
      <c r="A69" s="189" t="s">
        <v>77</v>
      </c>
      <c r="B69" s="99"/>
      <c r="C69" s="97">
        <v>-6669203.0974097066</v>
      </c>
      <c r="D69" s="239">
        <f>D67</f>
        <v>5.7180999999999996E-2</v>
      </c>
      <c r="E69" s="99"/>
      <c r="F69" s="181">
        <f t="shared" ref="F69" si="8">ROUND($C69*D69,0)</f>
        <v>-381352</v>
      </c>
      <c r="G69" s="239">
        <f>G67</f>
        <v>6.0413000000000001E-2</v>
      </c>
      <c r="H69" s="99"/>
      <c r="I69" s="181">
        <f t="shared" ref="I69:I70" si="9">ROUND($C69*G69,0)</f>
        <v>-402907</v>
      </c>
      <c r="J69" s="181"/>
      <c r="K69" s="113"/>
      <c r="L69" s="91"/>
      <c r="M69" s="91"/>
    </row>
    <row r="70" spans="1:20">
      <c r="A70" s="118" t="s">
        <v>79</v>
      </c>
      <c r="B70" s="99"/>
      <c r="C70" s="109">
        <v>5761033.2870582342</v>
      </c>
      <c r="D70" s="239">
        <f>ROUND(F70/C7:C70,6)</f>
        <v>8.2679000000000002E-2</v>
      </c>
      <c r="E70" s="99"/>
      <c r="F70" s="181">
        <v>476315</v>
      </c>
      <c r="G70" s="239">
        <f>ROUND(SUM(I65,I68:I69,I75,I77)/SUM(C68:C69),6)</f>
        <v>8.7281999999999998E-2</v>
      </c>
      <c r="H70" s="99"/>
      <c r="I70" s="181">
        <f t="shared" si="9"/>
        <v>502835</v>
      </c>
      <c r="J70" s="100"/>
      <c r="K70" s="329" t="s">
        <v>86</v>
      </c>
      <c r="L70" s="329"/>
      <c r="M70" s="329"/>
    </row>
    <row r="71" spans="1:20">
      <c r="A71" s="223" t="s">
        <v>34</v>
      </c>
      <c r="B71" s="99"/>
      <c r="C71" s="112">
        <f>SUM(C68:C70)</f>
        <v>1928655973.1896486</v>
      </c>
      <c r="D71" s="99"/>
      <c r="E71" s="99"/>
      <c r="F71" s="115">
        <f>SUM(F68:F70)</f>
        <v>110429370</v>
      </c>
      <c r="G71" s="99"/>
      <c r="H71" s="99"/>
      <c r="I71" s="115">
        <f>SUM(I68:I70)</f>
        <v>116670687</v>
      </c>
      <c r="J71" s="100"/>
      <c r="K71" s="113"/>
      <c r="L71" s="91"/>
      <c r="M71" s="91"/>
    </row>
    <row r="72" spans="1:20">
      <c r="A72" s="99" t="s">
        <v>43</v>
      </c>
      <c r="B72" s="99"/>
      <c r="C72" s="97"/>
      <c r="D72" s="244"/>
      <c r="E72" s="99"/>
      <c r="F72" s="181"/>
      <c r="G72" s="244"/>
      <c r="H72" s="99"/>
      <c r="I72" s="181"/>
      <c r="J72" s="181"/>
      <c r="K72" s="113"/>
      <c r="L72" s="114"/>
      <c r="M72" s="91"/>
    </row>
    <row r="73" spans="1:20">
      <c r="A73" s="189" t="s">
        <v>100</v>
      </c>
      <c r="B73" s="99"/>
      <c r="C73" s="97">
        <v>2276056</v>
      </c>
      <c r="D73" s="237">
        <f>'Exhibit No.__(JAP-Tariff)'!E39</f>
        <v>11.91</v>
      </c>
      <c r="E73" s="99"/>
      <c r="F73" s="181">
        <f>ROUND(D73*$C73,0)</f>
        <v>27107827</v>
      </c>
      <c r="G73" s="237">
        <f>ROUND((1+$L$109)*'Exhibit No.__(JAP-PV RD)'!G23,2)</f>
        <v>12.59</v>
      </c>
      <c r="H73" s="99"/>
      <c r="I73" s="181">
        <f>ROUND(G73*$C73,0)</f>
        <v>28655545</v>
      </c>
      <c r="J73" s="181"/>
      <c r="K73" s="329" t="s">
        <v>120</v>
      </c>
      <c r="L73" s="329"/>
      <c r="M73" s="329"/>
    </row>
    <row r="74" spans="1:20">
      <c r="A74" s="189" t="s">
        <v>101</v>
      </c>
      <c r="B74" s="99"/>
      <c r="C74" s="97">
        <v>2471864</v>
      </c>
      <c r="D74" s="237">
        <f>'Exhibit No.__(JAP-Tariff)'!E42</f>
        <v>7.94</v>
      </c>
      <c r="E74" s="99"/>
      <c r="F74" s="181">
        <f>ROUND(D74*$C74,0)</f>
        <v>19626600</v>
      </c>
      <c r="G74" s="237">
        <f>ROUND((1+$L$109)*'Exhibit No.__(JAP-PV RD)'!G24,2)</f>
        <v>8.39</v>
      </c>
      <c r="H74" s="99"/>
      <c r="I74" s="181">
        <f>ROUND(G74*$C74,0)</f>
        <v>20738939</v>
      </c>
      <c r="J74" s="181"/>
      <c r="K74" s="329" t="s">
        <v>120</v>
      </c>
      <c r="L74" s="329"/>
      <c r="M74" s="329"/>
    </row>
    <row r="75" spans="1:20">
      <c r="A75" s="223" t="s">
        <v>34</v>
      </c>
      <c r="B75" s="99"/>
      <c r="C75" s="112">
        <f>SUM(C73:C74)</f>
        <v>4747920</v>
      </c>
      <c r="D75" s="244"/>
      <c r="E75" s="99"/>
      <c r="F75" s="115">
        <f>SUM(F73:F74)</f>
        <v>46734427</v>
      </c>
      <c r="G75" s="244"/>
      <c r="H75" s="99"/>
      <c r="I75" s="115">
        <f>SUM(I73:I74)</f>
        <v>49394484</v>
      </c>
      <c r="J75" s="181"/>
      <c r="K75" s="113"/>
      <c r="L75" s="91"/>
      <c r="M75" s="91"/>
    </row>
    <row r="76" spans="1:20">
      <c r="A76" s="99"/>
      <c r="B76" s="99"/>
      <c r="C76" s="109"/>
      <c r="D76" s="109"/>
      <c r="E76" s="99"/>
      <c r="F76" s="100"/>
      <c r="G76" s="109"/>
      <c r="H76" s="99"/>
      <c r="I76" s="100"/>
      <c r="J76" s="100"/>
      <c r="K76" s="113"/>
      <c r="L76" s="91"/>
      <c r="M76" s="91"/>
    </row>
    <row r="77" spans="1:20">
      <c r="A77" s="99" t="s">
        <v>96</v>
      </c>
      <c r="B77" s="99"/>
      <c r="C77" s="97">
        <v>836510030</v>
      </c>
      <c r="D77" s="245">
        <f>'Exhibit No.__(JAP-Tariff)'!E46</f>
        <v>1.2600000000000001E-3</v>
      </c>
      <c r="E77" s="99"/>
      <c r="F77" s="181">
        <f>ROUND(D77*$C77,0)</f>
        <v>1054003</v>
      </c>
      <c r="G77" s="245">
        <f>ROUND(D77*(1+$M$81),5)</f>
        <v>1.33E-3</v>
      </c>
      <c r="H77" s="99"/>
      <c r="I77" s="181">
        <f>ROUND(G77*$C77,0)</f>
        <v>1112558</v>
      </c>
      <c r="J77" s="100"/>
      <c r="K77" s="329" t="s">
        <v>86</v>
      </c>
      <c r="L77" s="329"/>
      <c r="M77" s="329"/>
    </row>
    <row r="78" spans="1:20">
      <c r="A78" s="99"/>
      <c r="B78" s="99"/>
      <c r="C78" s="109"/>
      <c r="D78" s="109"/>
      <c r="E78" s="99"/>
      <c r="F78" s="100"/>
      <c r="G78" s="109"/>
      <c r="H78" s="99"/>
      <c r="I78" s="100"/>
      <c r="J78" s="100"/>
      <c r="K78" s="40"/>
      <c r="L78" s="114"/>
      <c r="M78" s="91"/>
    </row>
    <row r="79" spans="1:20" ht="16.5" thickBot="1">
      <c r="A79" s="99" t="s">
        <v>38</v>
      </c>
      <c r="B79" s="99"/>
      <c r="C79" s="109"/>
      <c r="D79" s="109"/>
      <c r="E79" s="99"/>
      <c r="F79" s="105">
        <f>SUM(F65,F71,F75,F77)</f>
        <v>159314430</v>
      </c>
      <c r="G79" s="109"/>
      <c r="H79" s="99"/>
      <c r="I79" s="105">
        <f>SUM(I65,I71,I75,I77)</f>
        <v>168336585</v>
      </c>
      <c r="J79" s="100"/>
      <c r="K79" s="113"/>
      <c r="L79" s="114"/>
      <c r="M79" s="91"/>
    </row>
    <row r="80" spans="1:20" ht="16.5" thickTop="1">
      <c r="A80" s="99"/>
      <c r="B80" s="117"/>
      <c r="C80" s="109"/>
      <c r="D80" s="109"/>
      <c r="E80" s="99"/>
      <c r="F80" s="181"/>
      <c r="G80" s="109"/>
      <c r="H80" s="99"/>
      <c r="I80" s="181"/>
      <c r="J80" s="181"/>
      <c r="K80" s="40"/>
      <c r="L80" s="114"/>
      <c r="M80" s="91"/>
    </row>
    <row r="81" spans="1:13">
      <c r="A81" s="96" t="str">
        <f>A60</f>
        <v>Avg Demand</v>
      </c>
      <c r="D81" s="255">
        <f>ROUND(SUM(F75)/SUM($C$75),2)</f>
        <v>9.84</v>
      </c>
      <c r="G81" s="255">
        <f>ROUND(SUM(I75)/SUM($C$75),2)</f>
        <v>10.4</v>
      </c>
      <c r="K81" s="116" t="s">
        <v>115</v>
      </c>
      <c r="L81" s="107">
        <f>'Exhibit No.__(JAP-Rate Spread)'!K13*1000</f>
        <v>169267215.8122659</v>
      </c>
      <c r="M81" s="108">
        <f>L81/SUM(F105,F79)-1</f>
        <v>5.6743560174646879E-2</v>
      </c>
    </row>
    <row r="82" spans="1:13">
      <c r="B82" s="99"/>
      <c r="C82" s="97"/>
      <c r="D82" s="181"/>
      <c r="E82" s="99"/>
      <c r="F82" s="99"/>
      <c r="G82" s="181"/>
      <c r="H82" s="99"/>
      <c r="I82" s="181" t="s">
        <v>0</v>
      </c>
      <c r="J82" s="181"/>
      <c r="K82" s="110" t="s">
        <v>37</v>
      </c>
      <c r="L82" s="111">
        <f>L81-I79-I105</f>
        <v>572.81226590275764</v>
      </c>
      <c r="M82" s="43" t="s">
        <v>0</v>
      </c>
    </row>
    <row r="83" spans="1:13">
      <c r="A83" s="230" t="s">
        <v>102</v>
      </c>
      <c r="B83" s="99"/>
      <c r="C83" s="99" t="s">
        <v>0</v>
      </c>
      <c r="D83" s="181"/>
      <c r="E83" s="99"/>
      <c r="F83" s="99"/>
      <c r="G83" s="181"/>
      <c r="H83" s="99"/>
      <c r="I83" s="99"/>
      <c r="J83" s="99"/>
      <c r="K83" s="201" t="s">
        <v>334</v>
      </c>
      <c r="L83" s="137">
        <f>P4</f>
        <v>-9.9999999999999995E-7</v>
      </c>
      <c r="M83" s="137">
        <f>L82/C67</f>
        <v>2.9686096105215491E-7</v>
      </c>
    </row>
    <row r="84" spans="1:13">
      <c r="A84" s="230" t="s">
        <v>99</v>
      </c>
      <c r="B84" s="99"/>
      <c r="C84" s="99"/>
      <c r="D84" s="181"/>
      <c r="E84" s="99"/>
      <c r="F84" s="99"/>
      <c r="G84" s="181"/>
      <c r="H84" s="99"/>
      <c r="I84" s="99"/>
      <c r="J84" s="99"/>
      <c r="K84" s="90"/>
      <c r="L84" s="91"/>
      <c r="M84" s="91"/>
    </row>
    <row r="85" spans="1:13">
      <c r="A85" s="99" t="s">
        <v>41</v>
      </c>
      <c r="B85" s="99"/>
      <c r="C85" s="97">
        <v>23</v>
      </c>
      <c r="D85" s="237">
        <f>D65</f>
        <v>105.74</v>
      </c>
      <c r="E85" s="99"/>
      <c r="F85" s="181">
        <f>ROUND(D85*$C85,0)</f>
        <v>2432</v>
      </c>
      <c r="G85" s="237">
        <f>G65</f>
        <v>111.74</v>
      </c>
      <c r="H85" s="99"/>
      <c r="I85" s="181">
        <f>ROUND(G85*$C85,0)</f>
        <v>2570</v>
      </c>
      <c r="J85" s="181"/>
      <c r="K85" s="329" t="s">
        <v>104</v>
      </c>
      <c r="L85" s="329"/>
      <c r="M85" s="329"/>
    </row>
    <row r="86" spans="1:13">
      <c r="A86" s="118" t="s">
        <v>103</v>
      </c>
      <c r="B86" s="99"/>
      <c r="C86" s="97">
        <f>C85</f>
        <v>23</v>
      </c>
      <c r="D86" s="237">
        <f>'Exhibit No.__(JAP-Tariff)'!E49</f>
        <v>237.92000000000002</v>
      </c>
      <c r="E86" s="99"/>
      <c r="F86" s="181">
        <f t="shared" ref="F86" si="10">ROUND(D86*$C86,0)</f>
        <v>5472</v>
      </c>
      <c r="G86" s="237">
        <f>L108</f>
        <v>257.92</v>
      </c>
      <c r="H86" s="99"/>
      <c r="I86" s="181">
        <f>ROUND(G86*$C86,0)</f>
        <v>5932</v>
      </c>
      <c r="J86" s="181"/>
      <c r="K86" s="90"/>
      <c r="L86" s="91"/>
      <c r="M86" s="91"/>
    </row>
    <row r="87" spans="1:13">
      <c r="A87" s="223" t="s">
        <v>34</v>
      </c>
      <c r="B87" s="99"/>
      <c r="C87" s="97"/>
      <c r="D87" s="237"/>
      <c r="E87" s="99"/>
      <c r="F87" s="115">
        <f>SUM(F85:F86)</f>
        <v>7904</v>
      </c>
      <c r="G87" s="237"/>
      <c r="H87" s="99"/>
      <c r="I87" s="115">
        <f>SUM(I85:I86)</f>
        <v>8502</v>
      </c>
      <c r="J87" s="181"/>
      <c r="K87" s="329" t="s">
        <v>125</v>
      </c>
      <c r="L87" s="329"/>
      <c r="M87" s="329"/>
    </row>
    <row r="88" spans="1:13">
      <c r="A88" s="99" t="s">
        <v>44</v>
      </c>
      <c r="B88" s="99"/>
      <c r="C88" s="97"/>
      <c r="D88" s="42"/>
      <c r="E88" s="181"/>
      <c r="F88" s="181"/>
      <c r="G88" s="42"/>
      <c r="H88" s="181"/>
      <c r="I88" s="181"/>
      <c r="J88" s="181"/>
      <c r="K88" s="113"/>
      <c r="L88" s="91"/>
      <c r="M88" s="91"/>
    </row>
    <row r="89" spans="1:13">
      <c r="A89" s="189" t="s">
        <v>49</v>
      </c>
      <c r="B89" s="99"/>
      <c r="C89" s="97">
        <v>10849300</v>
      </c>
      <c r="D89" s="239">
        <f>D67</f>
        <v>5.7180999999999996E-2</v>
      </c>
      <c r="E89" s="181"/>
      <c r="F89" s="181">
        <f t="shared" ref="F89:F90" si="11">ROUND($C89*D89,0)</f>
        <v>620374</v>
      </c>
      <c r="G89" s="239">
        <f>G67</f>
        <v>6.0413000000000001E-2</v>
      </c>
      <c r="H89" s="181"/>
      <c r="I89" s="181">
        <f t="shared" ref="I89:I90" si="12">ROUND($C89*G89,0)</f>
        <v>655439</v>
      </c>
      <c r="J89" s="181"/>
      <c r="K89" s="329" t="s">
        <v>104</v>
      </c>
      <c r="L89" s="329"/>
      <c r="M89" s="329"/>
    </row>
    <row r="90" spans="1:13">
      <c r="A90" s="189" t="s">
        <v>105</v>
      </c>
      <c r="B90" s="99"/>
      <c r="C90" s="97">
        <f>C89</f>
        <v>10849300</v>
      </c>
      <c r="D90" s="239">
        <f>'Exhibit No.__(JAP-Tariff)'!E55-D89</f>
        <v>-2.2529999999999981E-3</v>
      </c>
      <c r="E90" s="181"/>
      <c r="F90" s="181">
        <f t="shared" si="11"/>
        <v>-24443</v>
      </c>
      <c r="G90" s="239">
        <f>-M110</f>
        <v>-1.2689999999999999E-3</v>
      </c>
      <c r="H90" s="181"/>
      <c r="I90" s="181">
        <f t="shared" si="12"/>
        <v>-13768</v>
      </c>
      <c r="J90" s="181"/>
      <c r="K90" s="329" t="s">
        <v>127</v>
      </c>
      <c r="L90" s="329"/>
      <c r="M90" s="329"/>
    </row>
    <row r="91" spans="1:13">
      <c r="A91" s="223" t="s">
        <v>34</v>
      </c>
      <c r="B91" s="99"/>
      <c r="C91" s="112">
        <f>SUM(C89:C89)</f>
        <v>10849300</v>
      </c>
      <c r="D91" s="253"/>
      <c r="E91" s="99"/>
      <c r="F91" s="115">
        <f>SUM(F89:F90)</f>
        <v>595931</v>
      </c>
      <c r="G91" s="253"/>
      <c r="H91" s="99"/>
      <c r="I91" s="115">
        <f>SUM(I89:I90)</f>
        <v>641671</v>
      </c>
      <c r="J91" s="181"/>
      <c r="K91" s="113"/>
      <c r="L91" s="91"/>
      <c r="M91" s="91"/>
    </row>
    <row r="92" spans="1:13">
      <c r="A92" s="189" t="s">
        <v>77</v>
      </c>
      <c r="B92" s="99"/>
      <c r="C92" s="97">
        <v>0</v>
      </c>
      <c r="D92" s="239">
        <f>D89</f>
        <v>5.7180999999999996E-2</v>
      </c>
      <c r="E92" s="99"/>
      <c r="F92" s="181">
        <f t="shared" ref="F92:F93" si="13">ROUND($C92*D92,0)</f>
        <v>0</v>
      </c>
      <c r="G92" s="239"/>
      <c r="H92" s="99"/>
      <c r="I92" s="181">
        <f t="shared" ref="I92:I93" si="14">ROUND($C92*G92,0)</f>
        <v>0</v>
      </c>
      <c r="J92" s="181"/>
      <c r="K92" s="113"/>
      <c r="L92" s="91"/>
      <c r="M92" s="91"/>
    </row>
    <row r="93" spans="1:13">
      <c r="A93" s="118" t="s">
        <v>79</v>
      </c>
      <c r="B93" s="99"/>
      <c r="C93" s="109">
        <f>0</f>
        <v>0</v>
      </c>
      <c r="D93" s="239">
        <f>ROUND(SUM(F87,F91,F92,F99,F103)/SUM(C91:C92),6)</f>
        <v>7.961E-2</v>
      </c>
      <c r="E93" s="99"/>
      <c r="F93" s="181">
        <f t="shared" si="13"/>
        <v>0</v>
      </c>
      <c r="G93" s="239">
        <f>ROUND(SUM(I87,I91,I92,I99,I103)/SUM(C91:C92),6)</f>
        <v>8.5724999999999996E-2</v>
      </c>
      <c r="H93" s="99"/>
      <c r="I93" s="181">
        <f t="shared" si="14"/>
        <v>0</v>
      </c>
      <c r="J93" s="100"/>
      <c r="K93" s="90"/>
      <c r="L93" s="91"/>
      <c r="M93" s="91"/>
    </row>
    <row r="94" spans="1:13">
      <c r="A94" s="223" t="s">
        <v>34</v>
      </c>
      <c r="B94" s="99"/>
      <c r="C94" s="112">
        <f>SUM(C91:C93)</f>
        <v>10849300</v>
      </c>
      <c r="D94" s="99"/>
      <c r="E94" s="99"/>
      <c r="F94" s="115">
        <f>SUM(F91:F93)</f>
        <v>595931</v>
      </c>
      <c r="G94" s="99"/>
      <c r="H94" s="99"/>
      <c r="I94" s="115">
        <f>SUM(I91:I93)</f>
        <v>641671</v>
      </c>
      <c r="J94" s="100"/>
      <c r="K94" s="113"/>
      <c r="L94" s="91"/>
      <c r="M94" s="91"/>
    </row>
    <row r="95" spans="1:13">
      <c r="A95" s="99" t="s">
        <v>43</v>
      </c>
      <c r="B95" s="99"/>
      <c r="C95" s="97"/>
      <c r="D95" s="244"/>
      <c r="E95" s="99"/>
      <c r="F95" s="181"/>
      <c r="G95" s="244"/>
      <c r="H95" s="99"/>
      <c r="I95" s="181"/>
      <c r="J95" s="181"/>
      <c r="K95" s="113"/>
      <c r="L95" s="114"/>
      <c r="M95" s="91"/>
    </row>
    <row r="96" spans="1:13">
      <c r="A96" s="189" t="s">
        <v>100</v>
      </c>
      <c r="B96" s="99"/>
      <c r="C96" s="97">
        <v>13477</v>
      </c>
      <c r="D96" s="237">
        <f>D73</f>
        <v>11.91</v>
      </c>
      <c r="E96" s="99"/>
      <c r="F96" s="181">
        <f>ROUND(D96*$C96,0)</f>
        <v>160511</v>
      </c>
      <c r="G96" s="237">
        <f>G73</f>
        <v>12.59</v>
      </c>
      <c r="H96" s="99"/>
      <c r="I96" s="181">
        <f>ROUND(G96*$C96,0)</f>
        <v>169675</v>
      </c>
      <c r="J96" s="181"/>
      <c r="K96" s="329" t="s">
        <v>104</v>
      </c>
      <c r="L96" s="329"/>
      <c r="M96" s="329"/>
    </row>
    <row r="97" spans="1:13">
      <c r="A97" s="189" t="s">
        <v>101</v>
      </c>
      <c r="B97" s="99"/>
      <c r="C97" s="97">
        <v>13267</v>
      </c>
      <c r="D97" s="237">
        <f>D74</f>
        <v>7.94</v>
      </c>
      <c r="E97" s="99"/>
      <c r="F97" s="181">
        <f>ROUND(D97*$C97,0)</f>
        <v>105340</v>
      </c>
      <c r="G97" s="237">
        <f>G74</f>
        <v>8.39</v>
      </c>
      <c r="H97" s="99"/>
      <c r="I97" s="181">
        <f>ROUND(G97*$C97,0)</f>
        <v>111310</v>
      </c>
      <c r="J97" s="181"/>
      <c r="K97" s="329" t="s">
        <v>104</v>
      </c>
      <c r="L97" s="329"/>
      <c r="M97" s="329"/>
    </row>
    <row r="98" spans="1:13">
      <c r="A98" s="189" t="s">
        <v>105</v>
      </c>
      <c r="B98" s="99"/>
      <c r="C98" s="97">
        <f>C97+C96</f>
        <v>26744</v>
      </c>
      <c r="D98" s="237">
        <f>'Exhibit No.__(JAP-Tariff)'!E50</f>
        <v>-0.39</v>
      </c>
      <c r="E98" s="99"/>
      <c r="F98" s="181">
        <f>ROUND(D98*$C98,0)</f>
        <v>-10430</v>
      </c>
      <c r="G98" s="237">
        <f>-M109</f>
        <v>-0.22</v>
      </c>
      <c r="H98" s="99"/>
      <c r="I98" s="181">
        <f>ROUND(G98*$C98,0)</f>
        <v>-5884</v>
      </c>
      <c r="J98" s="181"/>
      <c r="K98" s="329" t="s">
        <v>127</v>
      </c>
      <c r="L98" s="329"/>
      <c r="M98" s="329"/>
    </row>
    <row r="99" spans="1:13">
      <c r="A99" s="223" t="s">
        <v>34</v>
      </c>
      <c r="B99" s="99"/>
      <c r="C99" s="112">
        <f>SUM(C96:C97)</f>
        <v>26744</v>
      </c>
      <c r="D99" s="244"/>
      <c r="E99" s="99"/>
      <c r="F99" s="115">
        <f>SUM(F96:F98)</f>
        <v>255421</v>
      </c>
      <c r="G99" s="244"/>
      <c r="H99" s="99"/>
      <c r="I99" s="115">
        <f>SUM(I96:I98)</f>
        <v>275101</v>
      </c>
      <c r="J99" s="181"/>
      <c r="K99" s="113"/>
      <c r="L99" s="91"/>
      <c r="M99" s="91"/>
    </row>
    <row r="100" spans="1:13">
      <c r="A100" s="99"/>
      <c r="B100" s="99"/>
      <c r="C100" s="109"/>
      <c r="D100" s="109"/>
      <c r="E100" s="99"/>
      <c r="F100" s="100"/>
      <c r="G100" s="109"/>
      <c r="H100" s="99"/>
      <c r="I100" s="100"/>
      <c r="J100" s="100"/>
      <c r="K100" s="113"/>
      <c r="L100" s="91"/>
      <c r="M100" s="91"/>
    </row>
    <row r="101" spans="1:13">
      <c r="A101" s="99" t="s">
        <v>96</v>
      </c>
      <c r="B101" s="99"/>
      <c r="C101" s="97">
        <v>3679406</v>
      </c>
      <c r="D101" s="245">
        <f>D77</f>
        <v>1.2600000000000001E-3</v>
      </c>
      <c r="E101" s="99"/>
      <c r="F101" s="181">
        <f>ROUND(D101*$C101,0)</f>
        <v>4636</v>
      </c>
      <c r="G101" s="245">
        <f>G77</f>
        <v>1.33E-3</v>
      </c>
      <c r="H101" s="99"/>
      <c r="I101" s="181">
        <f>ROUND(G101*$C101,0)</f>
        <v>4894</v>
      </c>
      <c r="J101" s="100"/>
      <c r="K101" s="329" t="s">
        <v>104</v>
      </c>
      <c r="L101" s="329"/>
      <c r="M101" s="329"/>
    </row>
    <row r="102" spans="1:13">
      <c r="A102" s="189" t="s">
        <v>105</v>
      </c>
      <c r="B102" s="99"/>
      <c r="C102" s="97">
        <f>C101+C100</f>
        <v>3679406</v>
      </c>
      <c r="D102" s="245">
        <f>'Exhibit No.__(JAP-Tariff)'!E56-'Exhibit No.__(JAP-SV RD)'!D101</f>
        <v>-4.9999999999999914E-5</v>
      </c>
      <c r="E102" s="99"/>
      <c r="F102" s="181">
        <f>ROUND(D102*$C102,0)</f>
        <v>-184</v>
      </c>
      <c r="G102" s="245">
        <f>-M111</f>
        <v>-3.0000000000000001E-5</v>
      </c>
      <c r="H102" s="99"/>
      <c r="I102" s="181">
        <f>ROUND(G102*$C102,0)</f>
        <v>-110</v>
      </c>
      <c r="J102" s="100"/>
      <c r="K102" s="329" t="s">
        <v>127</v>
      </c>
      <c r="L102" s="329"/>
      <c r="M102" s="329"/>
    </row>
    <row r="103" spans="1:13">
      <c r="A103" s="223" t="s">
        <v>34</v>
      </c>
      <c r="B103" s="99"/>
      <c r="C103" s="97"/>
      <c r="D103" s="245"/>
      <c r="E103" s="99"/>
      <c r="F103" s="115">
        <f>SUM(F100:F102)</f>
        <v>4452</v>
      </c>
      <c r="G103" s="237"/>
      <c r="H103" s="99"/>
      <c r="I103" s="115">
        <f>SUM(I100:I102)</f>
        <v>4784</v>
      </c>
      <c r="J103" s="100"/>
      <c r="K103" s="113"/>
      <c r="L103" s="114"/>
      <c r="M103" s="91"/>
    </row>
    <row r="104" spans="1:13">
      <c r="A104" s="99"/>
      <c r="B104" s="99"/>
      <c r="C104" s="109"/>
      <c r="D104" s="109"/>
      <c r="E104" s="99"/>
      <c r="F104" s="100"/>
      <c r="G104" s="109"/>
      <c r="H104" s="99"/>
      <c r="I104" s="100"/>
      <c r="J104" s="100"/>
      <c r="K104" s="113"/>
      <c r="L104" s="114"/>
      <c r="M104" s="91"/>
    </row>
    <row r="105" spans="1:13" ht="16.5" thickBot="1">
      <c r="A105" s="99" t="s">
        <v>38</v>
      </c>
      <c r="B105" s="99"/>
      <c r="C105" s="109"/>
      <c r="D105" s="109"/>
      <c r="E105" s="99"/>
      <c r="F105" s="105">
        <f>SUM(F103,F99,F94,F87)</f>
        <v>863708</v>
      </c>
      <c r="G105" s="109"/>
      <c r="H105" s="99"/>
      <c r="I105" s="105">
        <f>SUM(I103,I99,I94,I87)</f>
        <v>930058</v>
      </c>
      <c r="J105" s="100"/>
      <c r="K105" s="113"/>
      <c r="L105" s="114"/>
      <c r="M105" s="91"/>
    </row>
    <row r="106" spans="1:13" ht="17.25" thickTop="1" thickBot="1">
      <c r="A106" s="99"/>
      <c r="B106" s="117"/>
      <c r="C106" s="109"/>
      <c r="D106" s="109"/>
      <c r="E106" s="99"/>
      <c r="F106" s="181"/>
      <c r="G106" s="109"/>
      <c r="H106" s="99"/>
      <c r="I106" s="181"/>
      <c r="J106" s="181"/>
      <c r="K106" s="40"/>
      <c r="L106" s="114"/>
      <c r="M106" s="91"/>
    </row>
    <row r="107" spans="1:13" ht="16.5" thickBot="1">
      <c r="K107" s="341" t="s">
        <v>116</v>
      </c>
      <c r="L107" s="342"/>
      <c r="M107" s="343"/>
    </row>
    <row r="108" spans="1:13">
      <c r="B108" s="99"/>
      <c r="C108" s="97"/>
      <c r="D108" s="181"/>
      <c r="E108" s="99"/>
      <c r="F108" s="99"/>
      <c r="G108" s="181"/>
      <c r="H108" s="99"/>
      <c r="I108" s="181" t="s">
        <v>0</v>
      </c>
      <c r="J108" s="181"/>
      <c r="K108" s="120" t="s">
        <v>117</v>
      </c>
      <c r="L108" s="121">
        <f>'Exhibit No.__(JAP-PV RD)'!G15-'Exhibit No.__(JAP-SV RD)'!G65</f>
        <v>257.92</v>
      </c>
      <c r="M108" s="122"/>
    </row>
    <row r="109" spans="1:13">
      <c r="B109" s="99"/>
      <c r="C109" s="99" t="s">
        <v>0</v>
      </c>
      <c r="D109" s="181"/>
      <c r="E109" s="99"/>
      <c r="F109" s="99"/>
      <c r="G109" s="181"/>
      <c r="H109" s="99"/>
      <c r="I109" s="99"/>
      <c r="J109" s="99"/>
      <c r="K109" s="120" t="s">
        <v>118</v>
      </c>
      <c r="L109" s="202">
        <v>2.1000000000000001E-2</v>
      </c>
      <c r="M109" s="123">
        <f>ROUND(+L109*(I75/C75),2)</f>
        <v>0.22</v>
      </c>
    </row>
    <row r="110" spans="1:13">
      <c r="A110" s="99"/>
      <c r="B110" s="99"/>
      <c r="C110" s="99"/>
      <c r="D110" s="181"/>
      <c r="E110" s="99"/>
      <c r="F110" s="99"/>
      <c r="G110" s="181"/>
      <c r="H110" s="99"/>
      <c r="I110" s="99"/>
      <c r="J110" s="99"/>
      <c r="K110" s="120" t="s">
        <v>119</v>
      </c>
      <c r="L110" s="202">
        <f>+L109</f>
        <v>2.1000000000000001E-2</v>
      </c>
      <c r="M110" s="124">
        <f>ROUND(+L110*G67,6)</f>
        <v>1.2689999999999999E-3</v>
      </c>
    </row>
    <row r="111" spans="1:13" ht="16.5" thickBot="1">
      <c r="A111" s="99"/>
      <c r="B111" s="99"/>
      <c r="C111" s="99"/>
      <c r="D111" s="181"/>
      <c r="E111" s="99"/>
      <c r="F111" s="99"/>
      <c r="G111" s="181"/>
      <c r="H111" s="99"/>
      <c r="I111" s="99"/>
      <c r="J111" s="99"/>
      <c r="K111" s="125" t="s">
        <v>128</v>
      </c>
      <c r="L111" s="203">
        <f>+L110</f>
        <v>2.1000000000000001E-2</v>
      </c>
      <c r="M111" s="126">
        <f>ROUND(+L111*G77,5)</f>
        <v>3.0000000000000001E-5</v>
      </c>
    </row>
    <row r="112" spans="1:13">
      <c r="A112" s="230" t="s">
        <v>109</v>
      </c>
      <c r="B112" s="99"/>
      <c r="C112" s="99"/>
      <c r="D112" s="181"/>
      <c r="E112" s="99"/>
      <c r="F112" s="99"/>
      <c r="G112" s="181"/>
      <c r="H112" s="99"/>
      <c r="I112" s="99"/>
      <c r="J112" s="99"/>
      <c r="K112" s="52"/>
      <c r="L112" s="148"/>
      <c r="M112" s="204"/>
    </row>
    <row r="113" spans="1:15">
      <c r="A113" s="230" t="s">
        <v>110</v>
      </c>
      <c r="B113" s="99"/>
      <c r="C113" s="99"/>
      <c r="D113" s="181"/>
      <c r="E113" s="99"/>
      <c r="F113" s="99"/>
      <c r="G113" s="181"/>
      <c r="H113" s="99"/>
      <c r="I113" s="99"/>
      <c r="J113" s="99"/>
      <c r="K113" s="52"/>
      <c r="L113" s="148"/>
      <c r="M113" s="204"/>
    </row>
    <row r="114" spans="1:15">
      <c r="A114" s="99"/>
      <c r="B114" s="99"/>
      <c r="C114" s="99"/>
      <c r="D114" s="181"/>
      <c r="E114" s="99"/>
      <c r="F114" s="99"/>
      <c r="G114" s="181"/>
      <c r="H114" s="99"/>
      <c r="I114" s="99"/>
      <c r="J114" s="99"/>
      <c r="K114" s="52"/>
      <c r="L114" s="148"/>
      <c r="M114" s="204"/>
      <c r="N114" s="154"/>
      <c r="O114" s="119"/>
    </row>
    <row r="115" spans="1:15">
      <c r="A115" s="99" t="s">
        <v>41</v>
      </c>
      <c r="B115" s="99"/>
      <c r="C115" s="97"/>
      <c r="D115" s="237"/>
      <c r="E115" s="99"/>
      <c r="F115" s="181"/>
      <c r="G115" s="237"/>
      <c r="H115" s="99"/>
      <c r="I115" s="181"/>
      <c r="J115" s="181"/>
      <c r="K115" s="90"/>
      <c r="L115" s="91"/>
      <c r="M115" s="91"/>
    </row>
    <row r="116" spans="1:15">
      <c r="A116" s="99" t="s">
        <v>39</v>
      </c>
      <c r="B116" s="99"/>
      <c r="C116" s="97">
        <v>2367</v>
      </c>
      <c r="D116" s="237">
        <f>'Exhibit No.__(JAP-Tariff)'!E59</f>
        <v>9.68</v>
      </c>
      <c r="E116" s="99"/>
      <c r="F116" s="181">
        <f t="shared" ref="F116:F117" si="15">ROUND(D116*$C116,0)</f>
        <v>22913</v>
      </c>
      <c r="G116" s="237">
        <f>ROUND(D116*(1+$I$138),2)</f>
        <v>10.23</v>
      </c>
      <c r="H116" s="99"/>
      <c r="I116" s="181">
        <f t="shared" ref="I116:I117" si="16">ROUND(G116*$C116,0)</f>
        <v>24214</v>
      </c>
      <c r="J116" s="181"/>
      <c r="K116" s="329" t="s">
        <v>86</v>
      </c>
      <c r="L116" s="329"/>
      <c r="M116" s="329"/>
    </row>
    <row r="117" spans="1:15">
      <c r="A117" s="99" t="s">
        <v>40</v>
      </c>
      <c r="B117" s="99"/>
      <c r="C117" s="97">
        <v>5539</v>
      </c>
      <c r="D117" s="237">
        <f>'Exhibit No.__(JAP-Tariff)'!E60</f>
        <v>24.58</v>
      </c>
      <c r="E117" s="99"/>
      <c r="F117" s="181">
        <f t="shared" si="15"/>
        <v>136149</v>
      </c>
      <c r="G117" s="237">
        <f>ROUND(D117*(1+$I$138),2)</f>
        <v>25.97</v>
      </c>
      <c r="H117" s="99"/>
      <c r="I117" s="181">
        <f t="shared" si="16"/>
        <v>143848</v>
      </c>
      <c r="J117" s="181"/>
      <c r="K117" s="329" t="s">
        <v>86</v>
      </c>
      <c r="L117" s="329"/>
      <c r="M117" s="329"/>
    </row>
    <row r="118" spans="1:15">
      <c r="A118" s="223" t="s">
        <v>34</v>
      </c>
      <c r="B118" s="99"/>
      <c r="C118" s="112">
        <f>SUM(C116:C117)</f>
        <v>7906</v>
      </c>
      <c r="D118" s="237"/>
      <c r="E118" s="99"/>
      <c r="F118" s="115">
        <f>SUM(F116:F117)</f>
        <v>159062</v>
      </c>
      <c r="G118" s="237"/>
      <c r="H118" s="99"/>
      <c r="I118" s="115">
        <f>SUM(I116:I117)</f>
        <v>168062</v>
      </c>
      <c r="J118" s="181"/>
      <c r="K118" s="329"/>
      <c r="L118" s="329"/>
      <c r="M118" s="329"/>
    </row>
    <row r="119" spans="1:15">
      <c r="A119" s="99" t="s">
        <v>44</v>
      </c>
      <c r="B119" s="99"/>
      <c r="C119" s="97"/>
      <c r="D119" s="42"/>
      <c r="E119" s="181"/>
      <c r="F119" s="181"/>
      <c r="G119" s="42"/>
      <c r="H119" s="181"/>
      <c r="I119" s="181"/>
      <c r="J119" s="181"/>
      <c r="K119" s="113"/>
      <c r="L119" s="91"/>
      <c r="M119" s="91"/>
    </row>
    <row r="120" spans="1:15">
      <c r="A120" s="189" t="s">
        <v>92</v>
      </c>
      <c r="B120" s="99"/>
      <c r="C120" s="97">
        <v>1729389</v>
      </c>
      <c r="D120" s="239">
        <f>'Exhibit No.__(JAP-Tariff)'!E62</f>
        <v>9.0677999999999995E-2</v>
      </c>
      <c r="E120" s="181"/>
      <c r="F120" s="181">
        <f>ROUND($C120*D120,0)</f>
        <v>156818</v>
      </c>
      <c r="G120" s="239">
        <f>ROUND(D120*(1+$I$138),6)</f>
        <v>9.5823000000000005E-2</v>
      </c>
      <c r="H120" s="181"/>
      <c r="I120" s="181">
        <f>ROUND($C120*G120,0)</f>
        <v>165715</v>
      </c>
      <c r="J120" s="181"/>
      <c r="K120" s="329" t="s">
        <v>86</v>
      </c>
      <c r="L120" s="329"/>
      <c r="M120" s="329"/>
    </row>
    <row r="121" spans="1:15">
      <c r="A121" s="189" t="s">
        <v>112</v>
      </c>
      <c r="B121" s="99"/>
      <c r="C121" s="97">
        <v>19019</v>
      </c>
      <c r="D121" s="239">
        <f>'Exhibit No.__(JAP-Tariff)'!E63</f>
        <v>6.8867999999999999E-2</v>
      </c>
      <c r="E121" s="181"/>
      <c r="F121" s="181">
        <f>ROUND($C121*D121,0)</f>
        <v>1310</v>
      </c>
      <c r="G121" s="239">
        <f>ROUND(D121*(1+$I$138),6)</f>
        <v>7.2775999999999993E-2</v>
      </c>
      <c r="H121" s="181"/>
      <c r="I121" s="181">
        <f>ROUND($C121*G121,0)</f>
        <v>1384</v>
      </c>
      <c r="J121" s="181"/>
      <c r="K121" s="329" t="s">
        <v>86</v>
      </c>
      <c r="L121" s="329"/>
      <c r="M121" s="329"/>
    </row>
    <row r="122" spans="1:15">
      <c r="A122" s="189" t="s">
        <v>91</v>
      </c>
      <c r="B122" s="99"/>
      <c r="C122" s="97">
        <v>14125235</v>
      </c>
      <c r="D122" s="239">
        <f>'Exhibit No.__(JAP-Tariff)'!E64</f>
        <v>6.2835000000000002E-2</v>
      </c>
      <c r="E122" s="181"/>
      <c r="F122" s="181">
        <f t="shared" ref="F122:F123" si="17">ROUND($C122*D122,0)</f>
        <v>887559</v>
      </c>
      <c r="G122" s="239">
        <f>ROUND(D122*(1+$I$138),6)</f>
        <v>6.6400000000000001E-2</v>
      </c>
      <c r="H122" s="181"/>
      <c r="I122" s="181">
        <f t="shared" ref="I122:I123" si="18">ROUND($C122*G122,0)</f>
        <v>937916</v>
      </c>
      <c r="J122" s="181"/>
      <c r="K122" s="329" t="s">
        <v>86</v>
      </c>
      <c r="L122" s="329"/>
      <c r="M122" s="329"/>
    </row>
    <row r="123" spans="1:15">
      <c r="A123" s="189" t="s">
        <v>111</v>
      </c>
      <c r="B123" s="99"/>
      <c r="C123" s="97">
        <v>852497</v>
      </c>
      <c r="D123" s="239">
        <f>'Exhibit No.__(JAP-Tariff)'!E65</f>
        <v>5.3838999999999998E-2</v>
      </c>
      <c r="E123" s="181"/>
      <c r="F123" s="181">
        <f t="shared" si="17"/>
        <v>45898</v>
      </c>
      <c r="G123" s="239">
        <f>ROUND(D123*(1+$I$138),6)</f>
        <v>5.6894E-2</v>
      </c>
      <c r="H123" s="181"/>
      <c r="I123" s="181">
        <f t="shared" si="18"/>
        <v>48502</v>
      </c>
      <c r="J123" s="181"/>
      <c r="K123" s="329" t="s">
        <v>86</v>
      </c>
      <c r="L123" s="329"/>
      <c r="M123" s="329"/>
    </row>
    <row r="124" spans="1:15">
      <c r="A124" s="223" t="s">
        <v>34</v>
      </c>
      <c r="B124" s="99"/>
      <c r="C124" s="112">
        <f>SUM(C120:C123)</f>
        <v>16726140</v>
      </c>
      <c r="D124" s="253"/>
      <c r="E124" s="99"/>
      <c r="F124" s="115">
        <f>SUM(F120:F123)</f>
        <v>1091585</v>
      </c>
      <c r="G124" s="253"/>
      <c r="H124" s="99"/>
      <c r="I124" s="115">
        <f>SUM(I120:I123)</f>
        <v>1153517</v>
      </c>
      <c r="J124" s="181"/>
      <c r="K124" s="198"/>
      <c r="L124" s="91"/>
      <c r="M124" s="91"/>
    </row>
    <row r="125" spans="1:15">
      <c r="A125" s="189" t="s">
        <v>84</v>
      </c>
      <c r="B125" s="99"/>
      <c r="C125" s="97">
        <v>0</v>
      </c>
      <c r="D125" s="239">
        <f>D121</f>
        <v>6.8867999999999999E-2</v>
      </c>
      <c r="E125" s="99"/>
      <c r="F125" s="181">
        <f t="shared" ref="F125:F126" si="19">ROUND($C125*D125,0)</f>
        <v>0</v>
      </c>
      <c r="G125" s="239">
        <f>G121</f>
        <v>7.2775999999999993E-2</v>
      </c>
      <c r="H125" s="99"/>
      <c r="I125" s="181">
        <f t="shared" ref="I125:I127" si="20">ROUND($C125*G125,0)</f>
        <v>0</v>
      </c>
      <c r="J125" s="181"/>
      <c r="K125" s="113"/>
      <c r="L125" s="91"/>
      <c r="M125" s="91"/>
    </row>
    <row r="126" spans="1:15">
      <c r="A126" s="189" t="s">
        <v>85</v>
      </c>
      <c r="B126" s="99"/>
      <c r="C126" s="97">
        <v>0</v>
      </c>
      <c r="D126" s="239">
        <f>D123</f>
        <v>5.3838999999999998E-2</v>
      </c>
      <c r="E126" s="99"/>
      <c r="F126" s="181">
        <f t="shared" si="19"/>
        <v>0</v>
      </c>
      <c r="G126" s="239">
        <f>G123</f>
        <v>5.6894E-2</v>
      </c>
      <c r="H126" s="99"/>
      <c r="I126" s="181">
        <f t="shared" si="20"/>
        <v>0</v>
      </c>
      <c r="J126" s="181"/>
      <c r="K126" s="90"/>
      <c r="L126" s="91"/>
      <c r="M126" s="91"/>
    </row>
    <row r="127" spans="1:15">
      <c r="A127" s="118" t="s">
        <v>79</v>
      </c>
      <c r="B127" s="99"/>
      <c r="C127" s="109">
        <v>-250609.84182764241</v>
      </c>
      <c r="D127" s="239">
        <f>ROUND(F127/C127,6)</f>
        <v>-2.6929999999999999E-2</v>
      </c>
      <c r="E127" s="99"/>
      <c r="F127" s="181">
        <v>6749</v>
      </c>
      <c r="G127" s="239">
        <f>ROUND(D127*(1+$I$138),6)</f>
        <v>-2.8458000000000001E-2</v>
      </c>
      <c r="H127" s="99"/>
      <c r="I127" s="181">
        <f t="shared" si="20"/>
        <v>7132</v>
      </c>
      <c r="J127" s="100"/>
      <c r="K127" s="329" t="s">
        <v>86</v>
      </c>
      <c r="L127" s="329"/>
      <c r="M127" s="329"/>
    </row>
    <row r="128" spans="1:15">
      <c r="A128" s="223" t="s">
        <v>34</v>
      </c>
      <c r="B128" s="99"/>
      <c r="C128" s="112">
        <f>SUM(C124:C127)</f>
        <v>16475530.158172358</v>
      </c>
      <c r="D128" s="99"/>
      <c r="E128" s="99"/>
      <c r="F128" s="115">
        <f>SUM(F124:F127)</f>
        <v>1098334</v>
      </c>
      <c r="G128" s="99"/>
      <c r="H128" s="99"/>
      <c r="I128" s="115">
        <f>SUM(I124:I127)</f>
        <v>1160649</v>
      </c>
      <c r="J128" s="100"/>
      <c r="K128" s="198"/>
      <c r="L128" s="91"/>
      <c r="M128" s="91"/>
    </row>
    <row r="129" spans="1:13">
      <c r="A129" s="99" t="s">
        <v>43</v>
      </c>
      <c r="B129" s="99"/>
      <c r="C129" s="97"/>
      <c r="D129" s="244"/>
      <c r="E129" s="99"/>
      <c r="F129" s="181"/>
      <c r="G129" s="244"/>
      <c r="H129" s="99"/>
      <c r="I129" s="181"/>
      <c r="J129" s="181"/>
      <c r="K129" s="113"/>
      <c r="L129" s="114"/>
      <c r="M129" s="91"/>
    </row>
    <row r="130" spans="1:13">
      <c r="A130" s="189" t="s">
        <v>94</v>
      </c>
      <c r="B130" s="99"/>
      <c r="C130" s="97">
        <v>1636</v>
      </c>
      <c r="D130" s="237">
        <f>'Exhibit No.__(JAP-Tariff)'!E68</f>
        <v>8.94</v>
      </c>
      <c r="E130" s="99"/>
      <c r="F130" s="181">
        <f>ROUND(D130*$C130,0)</f>
        <v>14626</v>
      </c>
      <c r="G130" s="237">
        <f t="shared" ref="G130:G131" si="21">ROUND(D130*(1+$I$138),2)</f>
        <v>9.4499999999999993</v>
      </c>
      <c r="H130" s="99"/>
      <c r="I130" s="181">
        <f>ROUND(G130*$C130,0)</f>
        <v>15460</v>
      </c>
      <c r="J130" s="181"/>
      <c r="K130" s="329" t="s">
        <v>86</v>
      </c>
      <c r="L130" s="329"/>
      <c r="M130" s="329"/>
    </row>
    <row r="131" spans="1:13">
      <c r="A131" s="189" t="s">
        <v>95</v>
      </c>
      <c r="B131" s="99"/>
      <c r="C131" s="97">
        <v>4123</v>
      </c>
      <c r="D131" s="237">
        <f>'Exhibit No.__(JAP-Tariff)'!E69</f>
        <v>4.4000000000000004</v>
      </c>
      <c r="E131" s="99"/>
      <c r="F131" s="181">
        <f>ROUND(D131*$C131,0)</f>
        <v>18141</v>
      </c>
      <c r="G131" s="237">
        <f t="shared" si="21"/>
        <v>4.6500000000000004</v>
      </c>
      <c r="H131" s="99"/>
      <c r="I131" s="181">
        <f>ROUND(G131*$C131,0)</f>
        <v>19172</v>
      </c>
      <c r="J131" s="181"/>
      <c r="K131" s="329" t="s">
        <v>86</v>
      </c>
      <c r="L131" s="329"/>
      <c r="M131" s="329"/>
    </row>
    <row r="132" spans="1:13">
      <c r="A132" s="223" t="s">
        <v>34</v>
      </c>
      <c r="B132" s="99"/>
      <c r="C132" s="112">
        <f>SUM(C130:C131)</f>
        <v>5759</v>
      </c>
      <c r="D132" s="244"/>
      <c r="E132" s="99"/>
      <c r="F132" s="115">
        <f>SUM(F130:F131)</f>
        <v>32767</v>
      </c>
      <c r="G132" s="244"/>
      <c r="H132" s="99"/>
      <c r="I132" s="115">
        <f>SUM(I130:I131)</f>
        <v>34632</v>
      </c>
      <c r="J132" s="181"/>
      <c r="K132" s="113"/>
      <c r="L132" s="91"/>
      <c r="M132" s="91"/>
    </row>
    <row r="133" spans="1:13">
      <c r="A133" s="99"/>
      <c r="B133" s="99"/>
      <c r="C133" s="109"/>
      <c r="D133" s="109"/>
      <c r="E133" s="99"/>
      <c r="F133" s="100"/>
      <c r="G133" s="109"/>
      <c r="H133" s="99"/>
      <c r="I133" s="100"/>
      <c r="J133" s="100"/>
      <c r="K133" s="113"/>
      <c r="L133" s="91"/>
      <c r="M133" s="91"/>
    </row>
    <row r="134" spans="1:13">
      <c r="A134" s="99" t="s">
        <v>96</v>
      </c>
      <c r="B134" s="99"/>
      <c r="C134" s="97">
        <v>134040</v>
      </c>
      <c r="D134" s="245">
        <f>'Exhibit No.__(JAP-Tariff)'!E71</f>
        <v>2.8400000000000001E-3</v>
      </c>
      <c r="E134" s="99"/>
      <c r="F134" s="181">
        <f>ROUND(D134*$C134,0)</f>
        <v>381</v>
      </c>
      <c r="G134" s="245">
        <f>ROUND(D134*(1+$I$138),5)</f>
        <v>3.0000000000000001E-3</v>
      </c>
      <c r="H134" s="99"/>
      <c r="I134" s="181">
        <f>ROUND(G134*$C134,0)</f>
        <v>402</v>
      </c>
      <c r="J134" s="100"/>
      <c r="K134" s="329" t="s">
        <v>86</v>
      </c>
      <c r="L134" s="329"/>
      <c r="M134" s="329"/>
    </row>
    <row r="135" spans="1:13">
      <c r="A135" s="99"/>
      <c r="B135" s="99"/>
      <c r="C135" s="109"/>
      <c r="D135" s="109"/>
      <c r="E135" s="99"/>
      <c r="F135" s="100"/>
      <c r="G135" s="109"/>
      <c r="H135" s="99"/>
      <c r="I135" s="100"/>
      <c r="J135" s="100"/>
      <c r="K135" s="40"/>
      <c r="L135" s="114"/>
      <c r="M135" s="91"/>
    </row>
    <row r="136" spans="1:13" ht="16.5" thickBot="1">
      <c r="A136" s="99" t="s">
        <v>38</v>
      </c>
      <c r="B136" s="99"/>
      <c r="C136" s="109"/>
      <c r="D136" s="109"/>
      <c r="E136" s="99"/>
      <c r="F136" s="105">
        <f>SUM(F118,F128,F132,F134)</f>
        <v>1290544</v>
      </c>
      <c r="G136" s="109"/>
      <c r="H136" s="99"/>
      <c r="I136" s="105">
        <f>SUM(I118,I128,I132,I134)</f>
        <v>1363745</v>
      </c>
      <c r="J136" s="100"/>
      <c r="K136" s="113"/>
      <c r="L136" s="114"/>
      <c r="M136" s="91"/>
    </row>
    <row r="137" spans="1:13" ht="16.5" thickTop="1">
      <c r="A137" s="99"/>
      <c r="B137" s="117"/>
      <c r="C137" s="109"/>
      <c r="D137" s="109"/>
      <c r="E137" s="99"/>
      <c r="F137" s="181"/>
      <c r="G137" s="109"/>
      <c r="H137" s="99"/>
      <c r="I137" s="181"/>
      <c r="J137" s="181"/>
      <c r="K137" s="40"/>
      <c r="L137" s="114"/>
      <c r="M137" s="91"/>
    </row>
    <row r="138" spans="1:13">
      <c r="A138" s="178" t="s">
        <v>309</v>
      </c>
      <c r="I138" s="98">
        <f>M47</f>
        <v>5.6743560174646879E-2</v>
      </c>
      <c r="K138" s="40"/>
      <c r="L138" s="114"/>
      <c r="M138" s="91"/>
    </row>
    <row r="139" spans="1:13">
      <c r="K139" s="40"/>
      <c r="L139" s="114"/>
      <c r="M139" s="91"/>
    </row>
    <row r="141" spans="1:13">
      <c r="A141" s="172" t="s">
        <v>442</v>
      </c>
      <c r="C141" s="254"/>
      <c r="D141" s="199">
        <f>ROUND(SUM(F120,F122)/SUM($C$120,$C$122),6)</f>
        <v>6.5872E-2</v>
      </c>
      <c r="G141" s="199">
        <f>ROUND(SUM(I120,I122)/SUM($C$120,$C$122),6)</f>
        <v>6.9609000000000004E-2</v>
      </c>
    </row>
    <row r="142" spans="1:13">
      <c r="A142" s="172" t="s">
        <v>443</v>
      </c>
      <c r="C142" s="254"/>
      <c r="D142" s="199">
        <f>ROUND(SUM(F121,F123)/SUM($C$121,$C$123),6)</f>
        <v>5.4168000000000001E-2</v>
      </c>
      <c r="G142" s="199">
        <f>ROUND(SUM(I121,I123)/SUM($C$121,$C$123),6)</f>
        <v>5.7239999999999999E-2</v>
      </c>
    </row>
    <row r="143" spans="1:13">
      <c r="A143" s="172" t="s">
        <v>441</v>
      </c>
      <c r="C143" s="254"/>
      <c r="D143" s="255">
        <f>ROUND(SUM(F132)/SUM($C$132),2)</f>
        <v>5.69</v>
      </c>
      <c r="G143" s="255">
        <f>ROUND(SUM(I132)/SUM($C$132),2)</f>
        <v>6.01</v>
      </c>
    </row>
  </sheetData>
  <mergeCells count="49">
    <mergeCell ref="K131:M131"/>
    <mergeCell ref="K134:M134"/>
    <mergeCell ref="K107:M107"/>
    <mergeCell ref="K121:M121"/>
    <mergeCell ref="K122:M122"/>
    <mergeCell ref="K123:M123"/>
    <mergeCell ref="K127:M127"/>
    <mergeCell ref="K130:M130"/>
    <mergeCell ref="K102:M102"/>
    <mergeCell ref="K118:M118"/>
    <mergeCell ref="K120:M120"/>
    <mergeCell ref="K116:M116"/>
    <mergeCell ref="K117:M117"/>
    <mergeCell ref="K90:M90"/>
    <mergeCell ref="K96:M96"/>
    <mergeCell ref="K97:M97"/>
    <mergeCell ref="K98:M98"/>
    <mergeCell ref="K101:M101"/>
    <mergeCell ref="K74:M74"/>
    <mergeCell ref="K77:M77"/>
    <mergeCell ref="K85:M85"/>
    <mergeCell ref="K87:M87"/>
    <mergeCell ref="K89:M89"/>
    <mergeCell ref="K45:M45"/>
    <mergeCell ref="K65:M65"/>
    <mergeCell ref="K67:M67"/>
    <mergeCell ref="K70:M70"/>
    <mergeCell ref="K73:M73"/>
    <mergeCell ref="K34:M34"/>
    <mergeCell ref="K35:M35"/>
    <mergeCell ref="K38:M38"/>
    <mergeCell ref="K41:M41"/>
    <mergeCell ref="K42:M42"/>
    <mergeCell ref="K37:M37"/>
    <mergeCell ref="A1:J1"/>
    <mergeCell ref="A2:I2"/>
    <mergeCell ref="A3:I3"/>
    <mergeCell ref="A4:I4"/>
    <mergeCell ref="D9:F9"/>
    <mergeCell ref="G9:I9"/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2669DE-615A-4838-AB9C-4C42789B0762}"/>
</file>

<file path=customXml/itemProps2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D96444-4969-4710-9426-DC28968C8429}"/>
</file>

<file path=customXml/itemProps4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dc463f71-b30c-4ab2-9473-d307f9d3588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Puget Sound Energy</cp:lastModifiedBy>
  <cp:lastPrinted>2020-02-27T19:02:37Z</cp:lastPrinted>
  <dcterms:created xsi:type="dcterms:W3CDTF">2016-04-04T22:09:28Z</dcterms:created>
  <dcterms:modified xsi:type="dcterms:W3CDTF">2020-02-27T19:05:33Z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