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ept\Rates\ENERGY EFFICIENCY\ANNUAL REPORTING\Annual Report 2018\Final Files for Submission\"/>
    </mc:Choice>
  </mc:AlternateContent>
  <xr:revisionPtr revIDLastSave="0" documentId="8_{AF1A3EA2-D9C6-4522-8A1C-884F1DE909CE}" xr6:coauthVersionLast="43" xr6:coauthVersionMax="43" xr10:uidLastSave="{00000000-0000-0000-0000-000000000000}"/>
  <bookViews>
    <workbookView xWindow="-120" yWindow="-120" windowWidth="19440" windowHeight="15150" tabRatio="648" xr2:uid="{00000000-000D-0000-FFFF-FFFF00000000}"/>
  </bookViews>
  <sheets>
    <sheet name="TOTAL FIRST YEAR by MEASURE" sheetId="1" r:id="rId1"/>
    <sheet name="2018 WA LIW ACTUALS" sheetId="11" r:id="rId2"/>
    <sheet name="APP 2885" sheetId="9" r:id="rId3"/>
  </sheets>
  <externalReferences>
    <externalReference r:id="rId4"/>
    <externalReference r:id="rId5"/>
    <externalReference r:id="rId6"/>
    <externalReference r:id="rId7"/>
  </externalReferences>
  <definedNames>
    <definedName name="AC">'APP 2885'!$B$10:$G$54</definedName>
    <definedName name="Case_Flag">#REF!</definedName>
    <definedName name="Cons_Type_Flag">#REF!</definedName>
    <definedName name="ConstType">#REF!</definedName>
    <definedName name="CostPerMeasure">#REF!</definedName>
    <definedName name="DiscountRate">[1]Constants!$A$5</definedName>
    <definedName name="Elect_Avoided_Cost">'[2]Load Profiles'!$G$2:$Z$74</definedName>
    <definedName name="Electric_Load_Profiles">'[2]Load Profiles'!$A$3:$D$20</definedName>
    <definedName name="EndUse_Type_Flag">#REF!</definedName>
    <definedName name="Existing_Process">"Gas_Capacity_Factors"</definedName>
    <definedName name="Gas_Avoided_Cost">'[2]Load Profiles'!$AB$3:$AE$79</definedName>
    <definedName name="Gas_Cap_Factor">'[2]Load Profiles'!$X$4:$Y$25</definedName>
    <definedName name="Index_No.">"Gas_Avoided_Cost"</definedName>
    <definedName name="Inflation">'[3]Rates&amp;NEB'!$B$7</definedName>
    <definedName name="LIbyJOB">#REF!</definedName>
    <definedName name="LTdiscount">'[3]Rates&amp;NEB'!$B$9</definedName>
    <definedName name="MeasureSize">#REF!</definedName>
    <definedName name="NEPercentage">'[3]Rates&amp;NEB'!$B$13</definedName>
    <definedName name="NomInt">'[3]Rates&amp;NEB'!$B$5</definedName>
    <definedName name="OffsetAnchor">'TOTAL FIRST YEAR by MEASURE'!$A$5</definedName>
    <definedName name="_xlnm.Print_Area" localSheetId="0">'TOTAL FIRST YEAR by MEASURE'!$A$1:$P$25</definedName>
    <definedName name="Raw_results">#REF!</definedName>
    <definedName name="Sector">#REF!</definedName>
    <definedName name="soff">#REF!</definedName>
    <definedName name="SSMeasures">[4]Sheet4!$A$5:$G$115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G8" i="1"/>
  <c r="C21" i="1"/>
  <c r="H8" i="1" l="1"/>
  <c r="H21" i="1" l="1"/>
  <c r="H20" i="1"/>
  <c r="H19" i="1"/>
  <c r="H17" i="1"/>
  <c r="H16" i="1"/>
  <c r="H15" i="1"/>
  <c r="H14" i="1"/>
  <c r="H13" i="1"/>
  <c r="H12" i="1"/>
  <c r="H11" i="1"/>
  <c r="H10" i="1"/>
  <c r="H9" i="1"/>
  <c r="BM18" i="11" l="1"/>
  <c r="BL30" i="11" l="1"/>
  <c r="I13" i="1"/>
  <c r="BM21" i="11"/>
  <c r="BM10" i="11"/>
  <c r="BM9" i="11"/>
  <c r="BM8" i="11"/>
  <c r="BM7" i="11"/>
  <c r="BM6" i="11"/>
  <c r="BL27" i="11"/>
  <c r="BM27" i="11"/>
  <c r="BL6" i="11"/>
  <c r="BN6" i="11" s="1"/>
  <c r="I9" i="1"/>
  <c r="I10" i="1"/>
  <c r="I11" i="1"/>
  <c r="I12" i="1"/>
  <c r="I14" i="1"/>
  <c r="I15" i="1"/>
  <c r="I16" i="1"/>
  <c r="I17" i="1"/>
  <c r="I18" i="1"/>
  <c r="I19" i="1"/>
  <c r="I20" i="1"/>
  <c r="I8" i="1"/>
  <c r="K8" i="1" s="1"/>
  <c r="F35" i="11"/>
  <c r="E35" i="11"/>
  <c r="D33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6" i="11"/>
  <c r="BI8" i="11"/>
  <c r="BI7" i="11"/>
  <c r="BG35" i="11"/>
  <c r="BE35" i="11"/>
  <c r="BD35" i="11"/>
  <c r="BB35" i="11"/>
  <c r="BA35" i="11"/>
  <c r="AY35" i="11"/>
  <c r="AX35" i="11"/>
  <c r="AV35" i="11"/>
  <c r="AU35" i="11"/>
  <c r="AS35" i="11"/>
  <c r="AR35" i="11"/>
  <c r="AP35" i="11"/>
  <c r="AO35" i="11"/>
  <c r="AM35" i="11"/>
  <c r="AL35" i="11"/>
  <c r="X35" i="11"/>
  <c r="W35" i="11"/>
  <c r="U35" i="11"/>
  <c r="T35" i="11"/>
  <c r="R35" i="11"/>
  <c r="Q35" i="11"/>
  <c r="O35" i="11"/>
  <c r="N35" i="11"/>
  <c r="L35" i="11"/>
  <c r="K35" i="11"/>
  <c r="I35" i="11"/>
  <c r="H35" i="11"/>
  <c r="BP33" i="11"/>
  <c r="BM33" i="11"/>
  <c r="BL33" i="11"/>
  <c r="BI33" i="11"/>
  <c r="BP32" i="11"/>
  <c r="BM32" i="11"/>
  <c r="BL32" i="11"/>
  <c r="BI32" i="11"/>
  <c r="BP31" i="11"/>
  <c r="BM31" i="11"/>
  <c r="BL31" i="11"/>
  <c r="BI31" i="11"/>
  <c r="BP30" i="11"/>
  <c r="BM30" i="11"/>
  <c r="BN30" i="11" s="1"/>
  <c r="BK30" i="11" s="1"/>
  <c r="BI30" i="11"/>
  <c r="BP29" i="11"/>
  <c r="BM29" i="11"/>
  <c r="BL29" i="11"/>
  <c r="BI29" i="11"/>
  <c r="BP28" i="11"/>
  <c r="BM28" i="11"/>
  <c r="BL28" i="11"/>
  <c r="BI28" i="11"/>
  <c r="BP27" i="11"/>
  <c r="BI27" i="11"/>
  <c r="BP26" i="11"/>
  <c r="BM26" i="11"/>
  <c r="BL26" i="11"/>
  <c r="BN26" i="11" s="1"/>
  <c r="BI26" i="11"/>
  <c r="BP25" i="11"/>
  <c r="BM25" i="11"/>
  <c r="BL25" i="11"/>
  <c r="BN25" i="11" s="1"/>
  <c r="BI25" i="11"/>
  <c r="BP24" i="11"/>
  <c r="BM24" i="11"/>
  <c r="BL24" i="11"/>
  <c r="BN24" i="11" s="1"/>
  <c r="BI24" i="11"/>
  <c r="BP23" i="11"/>
  <c r="BM23" i="11"/>
  <c r="BL23" i="11"/>
  <c r="BI23" i="11"/>
  <c r="BP22" i="11"/>
  <c r="BM22" i="11"/>
  <c r="BL22" i="11"/>
  <c r="BN22" i="11" s="1"/>
  <c r="BI22" i="11"/>
  <c r="BP21" i="11"/>
  <c r="BL21" i="11"/>
  <c r="BI21" i="11"/>
  <c r="BP20" i="11"/>
  <c r="BM20" i="11"/>
  <c r="BL20" i="11"/>
  <c r="BR20" i="11" s="1"/>
  <c r="BS20" i="11" s="1"/>
  <c r="BI20" i="11"/>
  <c r="BP19" i="11"/>
  <c r="BM19" i="11"/>
  <c r="BL19" i="11"/>
  <c r="BI19" i="11"/>
  <c r="BP18" i="11"/>
  <c r="BL18" i="11"/>
  <c r="BN18" i="11" s="1"/>
  <c r="BI18" i="11"/>
  <c r="BP17" i="11"/>
  <c r="BM17" i="11"/>
  <c r="BL17" i="11"/>
  <c r="BI17" i="11"/>
  <c r="BP16" i="11"/>
  <c r="BM16" i="11"/>
  <c r="BL16" i="11"/>
  <c r="BI16" i="11"/>
  <c r="BP15" i="11"/>
  <c r="BM15" i="11"/>
  <c r="BL15" i="11"/>
  <c r="BI15" i="11"/>
  <c r="BP14" i="11"/>
  <c r="BM14" i="11"/>
  <c r="BL14" i="11"/>
  <c r="BI14" i="11"/>
  <c r="BP13" i="11"/>
  <c r="BM13" i="11"/>
  <c r="BL13" i="11"/>
  <c r="BI13" i="11"/>
  <c r="BP12" i="11"/>
  <c r="BM12" i="11"/>
  <c r="BL12" i="11"/>
  <c r="BI12" i="11"/>
  <c r="BP11" i="11"/>
  <c r="BM11" i="11"/>
  <c r="BL11" i="11"/>
  <c r="BI11" i="11"/>
  <c r="BP10" i="11"/>
  <c r="BL10" i="11"/>
  <c r="BN10" i="11" s="1"/>
  <c r="BI10" i="11"/>
  <c r="BP9" i="11"/>
  <c r="BL9" i="11"/>
  <c r="BN9" i="11" s="1"/>
  <c r="BI9" i="11"/>
  <c r="BP8" i="11"/>
  <c r="BL8" i="11"/>
  <c r="BP7" i="11"/>
  <c r="BL7" i="11"/>
  <c r="BP6" i="11"/>
  <c r="BI6" i="11"/>
  <c r="BR17" i="11" l="1"/>
  <c r="BS17" i="11" s="1"/>
  <c r="BN27" i="11"/>
  <c r="BK27" i="11" s="1"/>
  <c r="BR21" i="11"/>
  <c r="BS21" i="11" s="1"/>
  <c r="BN7" i="11"/>
  <c r="BN19" i="11"/>
  <c r="BN11" i="11"/>
  <c r="BN12" i="11"/>
  <c r="BN14" i="11"/>
  <c r="BN15" i="11"/>
  <c r="BN16" i="11"/>
  <c r="BN28" i="11"/>
  <c r="BN29" i="11"/>
  <c r="BN8" i="11"/>
  <c r="BJ30" i="11"/>
  <c r="BO30" i="11" s="1"/>
  <c r="BN13" i="11"/>
  <c r="BN23" i="11"/>
  <c r="BN31" i="11"/>
  <c r="BK31" i="11" s="1"/>
  <c r="BN32" i="11"/>
  <c r="BK32" i="11" s="1"/>
  <c r="BN33" i="11"/>
  <c r="BJ33" i="11" s="1"/>
  <c r="BJ27" i="11"/>
  <c r="BO27" i="11" s="1"/>
  <c r="BS22" i="11" l="1"/>
  <c r="B30" i="1" s="1"/>
  <c r="I21" i="1" s="1"/>
  <c r="BK33" i="11"/>
  <c r="BK34" i="11" s="1"/>
  <c r="BJ32" i="11"/>
  <c r="BO32" i="11"/>
  <c r="BJ31" i="11"/>
  <c r="BJ34" i="11" l="1"/>
  <c r="BO33" i="11"/>
  <c r="BO31" i="11"/>
  <c r="G18" i="1" l="1"/>
  <c r="F21" i="1" l="1"/>
  <c r="G13" i="1"/>
  <c r="G14" i="1"/>
  <c r="J14" i="1" s="1"/>
  <c r="G15" i="1"/>
  <c r="J15" i="1" s="1"/>
  <c r="G16" i="1"/>
  <c r="J16" i="1" s="1"/>
  <c r="G17" i="1"/>
  <c r="J17" i="1" s="1"/>
  <c r="G19" i="1"/>
  <c r="J19" i="1" s="1"/>
  <c r="G20" i="1"/>
  <c r="J20" i="1" s="1"/>
  <c r="B21" i="1"/>
  <c r="E9" i="1"/>
  <c r="E10" i="1"/>
  <c r="E11" i="1"/>
  <c r="E12" i="1"/>
  <c r="E13" i="1"/>
  <c r="E14" i="1"/>
  <c r="E15" i="1"/>
  <c r="N15" i="1" s="1"/>
  <c r="E16" i="1"/>
  <c r="E17" i="1"/>
  <c r="E18" i="1"/>
  <c r="E19" i="1"/>
  <c r="E20" i="1"/>
  <c r="L13" i="1"/>
  <c r="G9" i="1"/>
  <c r="J9" i="1" s="1"/>
  <c r="N19" i="1" l="1"/>
  <c r="L16" i="1"/>
  <c r="L15" i="1"/>
  <c r="N9" i="1"/>
  <c r="P13" i="1"/>
  <c r="K14" i="1"/>
  <c r="O13" i="1"/>
  <c r="O17" i="1"/>
  <c r="N17" i="1"/>
  <c r="N13" i="1"/>
  <c r="J13" i="1"/>
  <c r="N18" i="1"/>
  <c r="N14" i="1"/>
  <c r="K13" i="1"/>
  <c r="N20" i="1"/>
  <c r="N16" i="1"/>
  <c r="O14" i="1" l="1"/>
  <c r="K15" i="1"/>
  <c r="P15" i="1"/>
  <c r="O15" i="1"/>
  <c r="O16" i="1"/>
  <c r="P16" i="1"/>
  <c r="K16" i="1"/>
  <c r="L17" i="1"/>
  <c r="K17" i="1"/>
  <c r="P17" i="1"/>
  <c r="P14" i="1"/>
  <c r="L14" i="1"/>
  <c r="G10" i="1" l="1"/>
  <c r="G11" i="1"/>
  <c r="G12" i="1"/>
  <c r="J11" i="1" l="1"/>
  <c r="N11" i="1"/>
  <c r="J10" i="1"/>
  <c r="N10" i="1"/>
  <c r="G21" i="1"/>
  <c r="K21" i="1" s="1"/>
  <c r="J12" i="1"/>
  <c r="N12" i="1"/>
  <c r="J8" i="1"/>
  <c r="E8" i="1"/>
  <c r="E21" i="1" s="1"/>
  <c r="E7" i="1"/>
  <c r="J21" i="1" l="1"/>
  <c r="O21" i="1"/>
  <c r="L9" i="1"/>
  <c r="O9" i="1"/>
  <c r="K9" i="1"/>
  <c r="P8" i="1"/>
  <c r="N8" i="1"/>
  <c r="P12" i="1" l="1"/>
  <c r="L12" i="1"/>
  <c r="O12" i="1"/>
  <c r="K12" i="1"/>
  <c r="P11" i="1"/>
  <c r="K11" i="1"/>
  <c r="L11" i="1"/>
  <c r="O11" i="1"/>
  <c r="L10" i="1"/>
  <c r="O10" i="1"/>
  <c r="K10" i="1"/>
  <c r="P10" i="1"/>
  <c r="P9" i="1"/>
  <c r="O8" i="1"/>
  <c r="L8" i="1"/>
  <c r="N21" i="1"/>
  <c r="L21" i="1" l="1"/>
  <c r="P21" i="1"/>
</calcChain>
</file>

<file path=xl/sharedStrings.xml><?xml version="1.0" encoding="utf-8"?>
<sst xmlns="http://schemas.openxmlformats.org/spreadsheetml/2006/main" count="323" uniqueCount="232">
  <si>
    <t>CASCADE NATURAL GAS CORPORATION</t>
  </si>
  <si>
    <t>MEASURE</t>
  </si>
  <si>
    <t>NON-ENERGY</t>
  </si>
  <si>
    <t>DISCOUNTED</t>
  </si>
  <si>
    <t>TOTAL</t>
  </si>
  <si>
    <t>ANNUAL THERM</t>
  </si>
  <si>
    <t>INSTALLED</t>
  </si>
  <si>
    <t>BENEFITS</t>
  </si>
  <si>
    <t>THERM</t>
  </si>
  <si>
    <t>RESOURCE</t>
  </si>
  <si>
    <t>PROGRAM</t>
  </si>
  <si>
    <t>UTILITY</t>
  </si>
  <si>
    <t>SAVINGS</t>
  </si>
  <si>
    <t>COST</t>
  </si>
  <si>
    <t>LIFE</t>
  </si>
  <si>
    <t>REBATE</t>
  </si>
  <si>
    <t>Wall Insulation</t>
  </si>
  <si>
    <t>Inflation rate</t>
  </si>
  <si>
    <t>DELIVERY</t>
  </si>
  <si>
    <t>&amp; ADMIN</t>
  </si>
  <si>
    <t>TRC</t>
  </si>
  <si>
    <t>W/DELIVERY</t>
  </si>
  <si>
    <t>UC</t>
  </si>
  <si>
    <t>PARTICIPANTS</t>
  </si>
  <si>
    <t>Attic/Ceiling Insulation</t>
  </si>
  <si>
    <t>Floor Insulation</t>
  </si>
  <si>
    <t>Duct Insulation</t>
  </si>
  <si>
    <t>Air Infiltration Reduction</t>
  </si>
  <si>
    <t>BENEFIT</t>
  </si>
  <si>
    <t>RATIO</t>
  </si>
  <si>
    <t>TOTAL IN FIRST YEAR by MEASURE</t>
  </si>
  <si>
    <t>TOTAL PROGRAM</t>
  </si>
  <si>
    <t>BASECASE - MEDIUM FORECAST - AVERAGE WEATHER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</si>
  <si>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</si>
  <si>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</si>
  <si>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</si>
  <si>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</si>
  <si>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</si>
  <si>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</si>
  <si>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</si>
  <si>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</si>
  <si>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</si>
  <si>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</si>
  <si>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</si>
  <si>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</si>
  <si>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</si>
  <si>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</si>
  <si>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</si>
  <si>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Cascade's Long Term Real Discount Rate:</t>
  </si>
  <si>
    <t>IRP Discount Rate =</t>
  </si>
  <si>
    <t>Years 21-45 Escalation =</t>
  </si>
  <si>
    <t>Program Admin costs</t>
  </si>
  <si>
    <t xml:space="preserve">NON </t>
  </si>
  <si>
    <t xml:space="preserve">ENERGY </t>
  </si>
  <si>
    <t>WITH</t>
  </si>
  <si>
    <t>Cascade Natural Gas Corporation</t>
  </si>
  <si>
    <t>LCCAP =</t>
  </si>
  <si>
    <t>Lower Columbia Community Action Program</t>
  </si>
  <si>
    <t>Washington Low Income Weatherization Incentive Program (WLIWP)</t>
  </si>
  <si>
    <t xml:space="preserve">NWCAC = </t>
  </si>
  <si>
    <t>Northwest Community Action Center</t>
  </si>
  <si>
    <t>KCR =</t>
  </si>
  <si>
    <t>Kitsap Community Resources</t>
  </si>
  <si>
    <t>Agency</t>
  </si>
  <si>
    <t>Annual Therm Savings</t>
  </si>
  <si>
    <t>Therms Ceiling</t>
  </si>
  <si>
    <t>Therms Floor</t>
  </si>
  <si>
    <t>Therms Wall</t>
  </si>
  <si>
    <t>Therms Air Infil</t>
  </si>
  <si>
    <t># Measures</t>
  </si>
  <si>
    <t>Therms</t>
  </si>
  <si>
    <t>NWCAC</t>
  </si>
  <si>
    <t>KCR</t>
  </si>
  <si>
    <t>Revised Discount Rate=</t>
  </si>
  <si>
    <t>Furnace Tune Up</t>
  </si>
  <si>
    <t>Duct Sealing</t>
  </si>
  <si>
    <t>High Efficiency Furnace Installation</t>
  </si>
  <si>
    <t>High Efficiency Space Heater</t>
  </si>
  <si>
    <t>Aerator</t>
  </si>
  <si>
    <t>Showerhead</t>
  </si>
  <si>
    <t>Tankless Water Heater</t>
  </si>
  <si>
    <t>Health and Safety repairs</t>
  </si>
  <si>
    <t>Audit Fee</t>
  </si>
  <si>
    <t>Inspection Fee</t>
  </si>
  <si>
    <t>Adjustment for $10k Payment Cap</t>
  </si>
  <si>
    <t>BMAC</t>
  </si>
  <si>
    <t>HASC</t>
  </si>
  <si>
    <t>OPPCO</t>
  </si>
  <si>
    <t>OIC</t>
  </si>
  <si>
    <t>Therms Wtr Htr Ins</t>
  </si>
  <si>
    <t>Therms Furnace Tune Up</t>
  </si>
  <si>
    <t>Furn Install    COST</t>
  </si>
  <si>
    <t>Therms Furn Install</t>
  </si>
  <si>
    <t>Space Heater  COST</t>
  </si>
  <si>
    <t>Therms Space Heat</t>
  </si>
  <si>
    <t>H-E Water Heater  COST</t>
  </si>
  <si>
    <t>Therms HE Wtr Htr</t>
  </si>
  <si>
    <t>Therms Aerator</t>
  </si>
  <si>
    <t>Therms Showerhead</t>
  </si>
  <si>
    <t>Therms Tankless</t>
  </si>
  <si>
    <t>5%</t>
  </si>
  <si>
    <t>7.5%</t>
  </si>
  <si>
    <t>10%</t>
  </si>
  <si>
    <t>12.5%</t>
  </si>
  <si>
    <t>15%</t>
  </si>
  <si>
    <t>17.5%</t>
  </si>
  <si>
    <t>20%</t>
  </si>
  <si>
    <t>IRP discount rate</t>
  </si>
  <si>
    <t>EE discount rate</t>
  </si>
  <si>
    <t>Water Heater Insulation</t>
  </si>
  <si>
    <t>17-28</t>
  </si>
  <si>
    <t>17-29</t>
  </si>
  <si>
    <t>18-1</t>
  </si>
  <si>
    <t>18-2</t>
  </si>
  <si>
    <t>18-3</t>
  </si>
  <si>
    <t>94892</t>
  </si>
  <si>
    <t>18-4</t>
  </si>
  <si>
    <t>94893</t>
  </si>
  <si>
    <t>18-5</t>
  </si>
  <si>
    <t>94894</t>
  </si>
  <si>
    <t>18-6</t>
  </si>
  <si>
    <t>95100</t>
  </si>
  <si>
    <t>18-7</t>
  </si>
  <si>
    <t>95243</t>
  </si>
  <si>
    <t>18-8</t>
  </si>
  <si>
    <t>BFCAC</t>
  </si>
  <si>
    <t>95429</t>
  </si>
  <si>
    <t>18-9</t>
  </si>
  <si>
    <t>LCCAP</t>
  </si>
  <si>
    <t>95551</t>
  </si>
  <si>
    <t>AMOUNT OVER 10K</t>
  </si>
  <si>
    <t>18-10</t>
  </si>
  <si>
    <t>95573</t>
  </si>
  <si>
    <t>18-11</t>
  </si>
  <si>
    <t>95682</t>
  </si>
  <si>
    <t>18-12</t>
  </si>
  <si>
    <t>18-13</t>
  </si>
  <si>
    <t>18-14</t>
  </si>
  <si>
    <t>18-15</t>
  </si>
  <si>
    <t>18-16</t>
  </si>
  <si>
    <t>18-17</t>
  </si>
  <si>
    <t>18-18</t>
  </si>
  <si>
    <t>18-19</t>
  </si>
  <si>
    <t>18-20</t>
  </si>
  <si>
    <t>18-21</t>
  </si>
  <si>
    <t>18-22</t>
  </si>
  <si>
    <t>18-23</t>
  </si>
  <si>
    <t>18-24</t>
  </si>
  <si>
    <t>YVFWC</t>
  </si>
  <si>
    <t>18-25</t>
  </si>
  <si>
    <t>18-26</t>
  </si>
  <si>
    <t>WIP Ceiling</t>
  </si>
  <si>
    <t>EWIP Ceiling</t>
  </si>
  <si>
    <t>WIP Wall</t>
  </si>
  <si>
    <t>EWIP Wall</t>
  </si>
  <si>
    <t>WIP Floor</t>
  </si>
  <si>
    <t>EWIP Floor</t>
  </si>
  <si>
    <t>WIP Duct Insulation</t>
  </si>
  <si>
    <t>EWIP Duct Insulation</t>
  </si>
  <si>
    <t>Therms Duct Insulation</t>
  </si>
  <si>
    <t>WIP Water Heater Ins</t>
  </si>
  <si>
    <t>EWIP Water Heater Ins</t>
  </si>
  <si>
    <t>WIP Furnace Tune Up</t>
  </si>
  <si>
    <t>EWIP Furnace Tune Up</t>
  </si>
  <si>
    <t>WIP Duct Sealing</t>
  </si>
  <si>
    <t>EWIP Duct Sealing</t>
  </si>
  <si>
    <t>Therms Duct Sealing</t>
  </si>
  <si>
    <t>WLIWP Furn Install</t>
  </si>
  <si>
    <t>WLIWP Furn Tune</t>
  </si>
  <si>
    <t>Furn Tune   COST</t>
  </si>
  <si>
    <t>Therms Furn Tune</t>
  </si>
  <si>
    <t>WLIWP Space Heater</t>
  </si>
  <si>
    <t>WLIWP H-E Water Heater</t>
  </si>
  <si>
    <t>WIP Air Infil</t>
  </si>
  <si>
    <t>EWIP Air Infil</t>
  </si>
  <si>
    <t>WIP Furnace</t>
  </si>
  <si>
    <t>EWIP Furnace</t>
  </si>
  <si>
    <t>Therms Furnace</t>
  </si>
  <si>
    <t>WIP Direct Vent</t>
  </si>
  <si>
    <t>EWIP Direct Vent</t>
  </si>
  <si>
    <t>Therms Direct Vent</t>
  </si>
  <si>
    <t>WIP Aerator</t>
  </si>
  <si>
    <t>EWIP Aerator</t>
  </si>
  <si>
    <t>WIP Showerhead</t>
  </si>
  <si>
    <t>EWIP Showerhead</t>
  </si>
  <si>
    <t>WIP Tankless</t>
  </si>
  <si>
    <t>EWIP Tankless</t>
  </si>
  <si>
    <t>WIP Water Heater</t>
  </si>
  <si>
    <t>EWIP Water Heater</t>
  </si>
  <si>
    <t>Therms Water Heater</t>
  </si>
  <si>
    <t>Safety &amp; Repair</t>
  </si>
  <si>
    <t>WIP Audit</t>
  </si>
  <si>
    <t>WIP Inspection</t>
  </si>
  <si>
    <t>WIP Reimbursement</t>
  </si>
  <si>
    <t>EWIP Reimbursement</t>
  </si>
  <si>
    <t>WIP + EWIP</t>
  </si>
  <si>
    <t>Total Project Cost with all Admin</t>
  </si>
  <si>
    <t>DSMC</t>
  </si>
  <si>
    <t>PROJECTS OVER $10K</t>
  </si>
  <si>
    <t>2018 LOW INCOME Program Participant Cost Effectiveness Estimates</t>
  </si>
  <si>
    <t>12 months ending December 31, 2018</t>
  </si>
  <si>
    <t xml:space="preserve">OPPCO = </t>
  </si>
  <si>
    <t>BMAC =</t>
  </si>
  <si>
    <t>HASC =</t>
  </si>
  <si>
    <t xml:space="preserve">BFCAC = </t>
  </si>
  <si>
    <t xml:space="preserve">OIC = </t>
  </si>
  <si>
    <t>YVFWC =</t>
  </si>
  <si>
    <t>Opportunity Council</t>
  </si>
  <si>
    <t>Blue mountain Action Council</t>
  </si>
  <si>
    <t>Housing Authority of Skagit County</t>
  </si>
  <si>
    <t>Benton Franklin Community Action Committee</t>
  </si>
  <si>
    <t>Opportunities Industrialization Center of Washington</t>
  </si>
  <si>
    <t>Yakima Valley Farm Workers Clinic DBA Northwest Community Action Center</t>
  </si>
  <si>
    <t>l</t>
  </si>
  <si>
    <t>City</t>
  </si>
  <si>
    <t>FERNDALE</t>
  </si>
  <si>
    <t>SUNNYSIDE</t>
  </si>
  <si>
    <t>BELLINGHAM</t>
  </si>
  <si>
    <t>LYNDEN</t>
  </si>
  <si>
    <t>WALLA WALLA</t>
  </si>
  <si>
    <t>TOPPENISH</t>
  </si>
  <si>
    <t>MOUNT VERNON</t>
  </si>
  <si>
    <t>PASCO</t>
  </si>
  <si>
    <t>KELSO</t>
  </si>
  <si>
    <t>BREMERTON</t>
  </si>
  <si>
    <t>WAPATO</t>
  </si>
  <si>
    <t>YAKIMA</t>
  </si>
  <si>
    <t>PORT ORCHARD</t>
  </si>
  <si>
    <t>GRANDVIEW</t>
  </si>
  <si>
    <t>10.0%</t>
  </si>
  <si>
    <t>2016 INTEGRATED RESOURCE PLAN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</si>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</sst>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?_);_(@_)"/>
    <numFmt numFmtId="165" formatCode="_(&quot;$&quot;* #,##0_);_(&quot;$&quot;* \(#,##0\);_(&quot;$&quot;* &quot;-&quot;??_);_(@_)"/>
    <numFmt numFmtId="166" formatCode="0.000%"/>
    <numFmt numFmtId="167" formatCode="#,##0.000"/>
    <numFmt numFmtId="168" formatCode="0.000"/>
    <numFmt numFmtId="169" formatCode="General_)"/>
    <numFmt numFmtId="170" formatCode="&quot;$&quot;#,##0.00"/>
    <numFmt numFmtId="171" formatCode="[$$-409]#,##0.00_);\([$$-409]#,##0.00\)"/>
  </numFmts>
  <fonts count="35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u/>
      <sz val="10"/>
      <color rgb="FFFF0000"/>
      <name val="Arial"/>
      <family val="2"/>
    </font>
    <font>
      <b/>
      <u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9" fontId="27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39" applyFont="1" applyAlignment="1">
      <alignment horizontal="center"/>
    </xf>
    <xf numFmtId="0" fontId="2" fillId="0" borderId="0" xfId="39" applyAlignment="1">
      <alignment horizontal="center"/>
    </xf>
    <xf numFmtId="0" fontId="2" fillId="0" borderId="15" xfId="39" applyBorder="1" applyAlignment="1">
      <alignment horizontal="center"/>
    </xf>
    <xf numFmtId="0" fontId="2" fillId="0" borderId="0" xfId="39"/>
    <xf numFmtId="8" fontId="2" fillId="0" borderId="0" xfId="39" applyNumberFormat="1" applyAlignment="1">
      <alignment horizontal="center"/>
    </xf>
    <xf numFmtId="0" fontId="3" fillId="0" borderId="0" xfId="39" applyFont="1"/>
    <xf numFmtId="166" fontId="2" fillId="0" borderId="0" xfId="42" applyNumberFormat="1" applyFont="1"/>
    <xf numFmtId="10" fontId="2" fillId="0" borderId="0" xfId="42" applyNumberFormat="1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24" fillId="24" borderId="17" xfId="0" applyFont="1" applyFill="1" applyBorder="1" applyAlignment="1">
      <alignment horizontal="center"/>
    </xf>
    <xf numFmtId="0" fontId="24" fillId="25" borderId="10" xfId="0" applyFont="1" applyFill="1" applyBorder="1" applyAlignment="1">
      <alignment horizontal="center"/>
    </xf>
    <xf numFmtId="0" fontId="24" fillId="0" borderId="0" xfId="0" applyFont="1"/>
    <xf numFmtId="0" fontId="24" fillId="0" borderId="12" xfId="0" applyFont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25" borderId="12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3" fontId="23" fillId="0" borderId="0" xfId="28" applyNumberFormat="1" applyFont="1" applyAlignment="1">
      <alignment horizontal="center"/>
    </xf>
    <xf numFmtId="42" fontId="23" fillId="0" borderId="0" xfId="29" applyNumberFormat="1" applyFont="1"/>
    <xf numFmtId="0" fontId="23" fillId="0" borderId="0" xfId="0" applyFont="1" applyAlignment="1">
      <alignment horizontal="left"/>
    </xf>
    <xf numFmtId="10" fontId="23" fillId="0" borderId="0" xfId="0" applyNumberFormat="1" applyFont="1" applyAlignment="1">
      <alignment horizontal="center"/>
    </xf>
    <xf numFmtId="0" fontId="24" fillId="0" borderId="11" xfId="0" applyFont="1" applyBorder="1"/>
    <xf numFmtId="0" fontId="24" fillId="0" borderId="17" xfId="0" applyFont="1" applyBorder="1"/>
    <xf numFmtId="0" fontId="24" fillId="26" borderId="26" xfId="0" applyFont="1" applyFill="1" applyBorder="1"/>
    <xf numFmtId="0" fontId="24" fillId="25" borderId="29" xfId="0" applyFont="1" applyFill="1" applyBorder="1" applyAlignment="1">
      <alignment horizontal="center"/>
    </xf>
    <xf numFmtId="0" fontId="24" fillId="0" borderId="12" xfId="0" applyFont="1" applyBorder="1"/>
    <xf numFmtId="0" fontId="24" fillId="0" borderId="0" xfId="0" applyFont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26" borderId="27" xfId="0" applyFont="1" applyFill="1" applyBorder="1" applyAlignment="1">
      <alignment horizontal="center"/>
    </xf>
    <xf numFmtId="0" fontId="24" fillId="25" borderId="30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25" borderId="31" xfId="0" applyFont="1" applyFill="1" applyBorder="1" applyAlignment="1">
      <alignment horizontal="center"/>
    </xf>
    <xf numFmtId="0" fontId="23" fillId="0" borderId="12" xfId="0" applyFont="1" applyBorder="1"/>
    <xf numFmtId="3" fontId="23" fillId="0" borderId="12" xfId="0" applyNumberFormat="1" applyFont="1" applyBorder="1" applyAlignment="1">
      <alignment horizontal="center"/>
    </xf>
    <xf numFmtId="3" fontId="23" fillId="0" borderId="12" xfId="28" applyNumberFormat="1" applyFont="1" applyBorder="1" applyAlignment="1">
      <alignment horizontal="center"/>
    </xf>
    <xf numFmtId="42" fontId="23" fillId="0" borderId="12" xfId="29" applyNumberFormat="1" applyFont="1" applyBorder="1"/>
    <xf numFmtId="164" fontId="23" fillId="0" borderId="13" xfId="0" applyNumberFormat="1" applyFont="1" applyBorder="1"/>
    <xf numFmtId="164" fontId="23" fillId="24" borderId="13" xfId="0" applyNumberFormat="1" applyFont="1" applyFill="1" applyBorder="1"/>
    <xf numFmtId="164" fontId="23" fillId="26" borderId="27" xfId="0" applyNumberFormat="1" applyFont="1" applyFill="1" applyBorder="1"/>
    <xf numFmtId="164" fontId="23" fillId="0" borderId="12" xfId="0" applyNumberFormat="1" applyFont="1" applyBorder="1"/>
    <xf numFmtId="164" fontId="23" fillId="25" borderId="30" xfId="0" applyNumberFormat="1" applyFont="1" applyFill="1" applyBorder="1"/>
    <xf numFmtId="167" fontId="23" fillId="25" borderId="12" xfId="0" applyNumberFormat="1" applyFont="1" applyFill="1" applyBorder="1" applyAlignment="1">
      <alignment horizontal="center"/>
    </xf>
    <xf numFmtId="0" fontId="24" fillId="0" borderId="18" xfId="0" applyFont="1" applyBorder="1" applyAlignment="1">
      <alignment horizontal="center"/>
    </xf>
    <xf numFmtId="3" fontId="24" fillId="0" borderId="22" xfId="0" applyNumberFormat="1" applyFont="1" applyBorder="1" applyAlignment="1">
      <alignment horizontal="center"/>
    </xf>
    <xf numFmtId="42" fontId="24" fillId="0" borderId="21" xfId="29" applyNumberFormat="1" applyFont="1" applyBorder="1"/>
    <xf numFmtId="3" fontId="24" fillId="0" borderId="23" xfId="28" applyNumberFormat="1" applyFont="1" applyBorder="1" applyAlignment="1">
      <alignment horizontal="center"/>
    </xf>
    <xf numFmtId="164" fontId="24" fillId="0" borderId="20" xfId="0" applyNumberFormat="1" applyFont="1" applyBorder="1"/>
    <xf numFmtId="164" fontId="24" fillId="24" borderId="20" xfId="0" applyNumberFormat="1" applyFont="1" applyFill="1" applyBorder="1"/>
    <xf numFmtId="164" fontId="24" fillId="26" borderId="28" xfId="0" applyNumberFormat="1" applyFont="1" applyFill="1" applyBorder="1"/>
    <xf numFmtId="164" fontId="24" fillId="0" borderId="25" xfId="0" applyNumberFormat="1" applyFont="1" applyBorder="1"/>
    <xf numFmtId="167" fontId="24" fillId="25" borderId="25" xfId="0" applyNumberFormat="1" applyFont="1" applyFill="1" applyBorder="1" applyAlignment="1">
      <alignment horizontal="center"/>
    </xf>
    <xf numFmtId="3" fontId="23" fillId="0" borderId="0" xfId="0" applyNumberFormat="1" applyFont="1" applyAlignment="1">
      <alignment horizontal="center"/>
    </xf>
    <xf numFmtId="42" fontId="23" fillId="0" borderId="24" xfId="0" applyNumberFormat="1" applyFont="1" applyBorder="1"/>
    <xf numFmtId="42" fontId="23" fillId="0" borderId="0" xfId="0" applyNumberFormat="1" applyFont="1"/>
    <xf numFmtId="167" fontId="23" fillId="0" borderId="0" xfId="0" applyNumberFormat="1" applyFont="1" applyAlignment="1">
      <alignment horizontal="center"/>
    </xf>
    <xf numFmtId="44" fontId="23" fillId="0" borderId="12" xfId="28" applyNumberFormat="1" applyFont="1" applyBorder="1" applyAlignment="1">
      <alignment horizontal="center"/>
    </xf>
    <xf numFmtId="2" fontId="23" fillId="24" borderId="13" xfId="0" applyNumberFormat="1" applyFont="1" applyFill="1" applyBorder="1" applyAlignment="1">
      <alignment horizontal="center"/>
    </xf>
    <xf numFmtId="168" fontId="24" fillId="24" borderId="20" xfId="0" applyNumberFormat="1" applyFont="1" applyFill="1" applyBorder="1" applyAlignment="1">
      <alignment horizontal="center"/>
    </xf>
    <xf numFmtId="169" fontId="3" fillId="0" borderId="0" xfId="226" applyFont="1" applyAlignment="1">
      <alignment horizontal="left"/>
    </xf>
    <xf numFmtId="169" fontId="3" fillId="0" borderId="0" xfId="226" applyFont="1"/>
    <xf numFmtId="44" fontId="3" fillId="0" borderId="0" xfId="206" applyFont="1" applyAlignment="1">
      <alignment horizontal="center"/>
    </xf>
    <xf numFmtId="170" fontId="3" fillId="0" borderId="0" xfId="206" applyNumberFormat="1" applyFont="1" applyAlignment="1">
      <alignment horizontal="center"/>
    </xf>
    <xf numFmtId="2" fontId="3" fillId="0" borderId="0" xfId="206" applyNumberFormat="1" applyFont="1" applyAlignment="1">
      <alignment horizontal="center"/>
    </xf>
    <xf numFmtId="44" fontId="3" fillId="0" borderId="0" xfId="206" applyFont="1" applyAlignment="1">
      <alignment horizontal="left"/>
    </xf>
    <xf numFmtId="169" fontId="2" fillId="0" borderId="0" xfId="226" applyFont="1"/>
    <xf numFmtId="44" fontId="3" fillId="0" borderId="15" xfId="206" applyFont="1" applyBorder="1" applyAlignment="1">
      <alignment horizontal="center"/>
    </xf>
    <xf numFmtId="169" fontId="3" fillId="0" borderId="30" xfId="226" applyFont="1" applyBorder="1" applyAlignment="1">
      <alignment horizontal="center"/>
    </xf>
    <xf numFmtId="44" fontId="2" fillId="0" borderId="12" xfId="206" applyBorder="1" applyAlignment="1">
      <alignment horizontal="center"/>
    </xf>
    <xf numFmtId="44" fontId="2" fillId="0" borderId="34" xfId="206" applyBorder="1" applyAlignment="1">
      <alignment horizontal="center"/>
    </xf>
    <xf numFmtId="10" fontId="2" fillId="0" borderId="0" xfId="229" applyNumberFormat="1"/>
    <xf numFmtId="10" fontId="2" fillId="0" borderId="0" xfId="222" applyNumberFormat="1" applyFont="1"/>
    <xf numFmtId="44" fontId="2" fillId="0" borderId="14" xfId="206" applyBorder="1" applyAlignment="1">
      <alignment horizontal="center"/>
    </xf>
    <xf numFmtId="44" fontId="23" fillId="0" borderId="0" xfId="0" applyNumberFormat="1" applyFont="1" applyAlignment="1">
      <alignment horizontal="right"/>
    </xf>
    <xf numFmtId="2" fontId="23" fillId="0" borderId="12" xfId="28" applyNumberFormat="1" applyFont="1" applyBorder="1" applyAlignment="1">
      <alignment horizontal="center"/>
    </xf>
    <xf numFmtId="7" fontId="23" fillId="0" borderId="0" xfId="29" applyNumberFormat="1" applyFont="1" applyAlignment="1">
      <alignment horizontal="center"/>
    </xf>
    <xf numFmtId="6" fontId="23" fillId="0" borderId="0" xfId="0" applyNumberFormat="1" applyFont="1" applyAlignment="1">
      <alignment horizontal="center"/>
    </xf>
    <xf numFmtId="171" fontId="23" fillId="0" borderId="0" xfId="0" applyNumberFormat="1" applyFont="1" applyAlignment="1">
      <alignment horizontal="center"/>
    </xf>
    <xf numFmtId="8" fontId="2" fillId="0" borderId="34" xfId="206" applyNumberFormat="1" applyBorder="1" applyAlignment="1">
      <alignment horizontal="center"/>
    </xf>
    <xf numFmtId="44" fontId="3" fillId="0" borderId="0" xfId="226" applyNumberFormat="1" applyFont="1"/>
    <xf numFmtId="4" fontId="24" fillId="0" borderId="21" xfId="28" applyNumberFormat="1" applyFont="1" applyBorder="1" applyAlignment="1">
      <alignment horizontal="center"/>
    </xf>
    <xf numFmtId="44" fontId="23" fillId="0" borderId="12" xfId="29" applyFont="1" applyBorder="1"/>
    <xf numFmtId="0" fontId="23" fillId="0" borderId="0" xfId="218" applyFont="1"/>
    <xf numFmtId="44" fontId="23" fillId="0" borderId="0" xfId="218" applyNumberFormat="1" applyFont="1"/>
    <xf numFmtId="2" fontId="29" fillId="0" borderId="33" xfId="206" applyNumberFormat="1" applyFont="1" applyBorder="1" applyAlignment="1">
      <alignment horizontal="center" wrapText="1"/>
    </xf>
    <xf numFmtId="44" fontId="31" fillId="0" borderId="33" xfId="206" applyFont="1" applyBorder="1" applyAlignment="1">
      <alignment horizontal="center" wrapText="1"/>
    </xf>
    <xf numFmtId="44" fontId="30" fillId="0" borderId="33" xfId="206" applyFont="1" applyBorder="1" applyAlignment="1">
      <alignment horizontal="center" wrapText="1"/>
    </xf>
    <xf numFmtId="2" fontId="29" fillId="0" borderId="11" xfId="206" applyNumberFormat="1" applyFont="1" applyBorder="1" applyAlignment="1">
      <alignment horizontal="center" wrapText="1"/>
    </xf>
    <xf numFmtId="44" fontId="31" fillId="0" borderId="10" xfId="206" applyFont="1" applyBorder="1" applyAlignment="1">
      <alignment horizontal="center" wrapText="1"/>
    </xf>
    <xf numFmtId="44" fontId="30" fillId="0" borderId="10" xfId="206" applyFont="1" applyBorder="1" applyAlignment="1">
      <alignment horizontal="center" wrapText="1"/>
    </xf>
    <xf numFmtId="2" fontId="29" fillId="0" borderId="10" xfId="206" applyNumberFormat="1" applyFont="1" applyBorder="1" applyAlignment="1">
      <alignment horizontal="center" wrapText="1"/>
    </xf>
    <xf numFmtId="44" fontId="30" fillId="0" borderId="35" xfId="206" applyFont="1" applyBorder="1" applyAlignment="1">
      <alignment horizontal="center" wrapText="1"/>
    </xf>
    <xf numFmtId="169" fontId="29" fillId="0" borderId="11" xfId="226" applyFont="1" applyBorder="1" applyAlignment="1">
      <alignment horizontal="center" wrapText="1"/>
    </xf>
    <xf numFmtId="169" fontId="29" fillId="0" borderId="33" xfId="226" applyFont="1" applyBorder="1" applyAlignment="1">
      <alignment horizontal="left"/>
    </xf>
    <xf numFmtId="169" fontId="29" fillId="0" borderId="32" xfId="226" applyFont="1" applyBorder="1" applyAlignment="1">
      <alignment horizontal="center"/>
    </xf>
    <xf numFmtId="2" fontId="3" fillId="0" borderId="15" xfId="206" applyNumberFormat="1" applyFont="1" applyBorder="1" applyAlignment="1">
      <alignment horizontal="center"/>
    </xf>
    <xf numFmtId="0" fontId="28" fillId="0" borderId="0" xfId="218" applyFont="1" applyAlignment="1">
      <alignment horizontal="right"/>
    </xf>
    <xf numFmtId="0" fontId="23" fillId="0" borderId="12" xfId="0" applyFont="1" applyBorder="1" applyAlignment="1">
      <alignment horizontal="center"/>
    </xf>
    <xf numFmtId="164" fontId="23" fillId="25" borderId="25" xfId="0" applyNumberFormat="1" applyFont="1" applyFill="1" applyBorder="1"/>
    <xf numFmtId="169" fontId="2" fillId="0" borderId="12" xfId="226" applyFont="1" applyBorder="1" applyAlignment="1">
      <alignment horizontal="center" wrapText="1"/>
    </xf>
    <xf numFmtId="44" fontId="2" fillId="0" borderId="12" xfId="206" applyBorder="1" applyAlignment="1">
      <alignment horizontal="center" wrapText="1"/>
    </xf>
    <xf numFmtId="2" fontId="2" fillId="0" borderId="12" xfId="206" applyNumberFormat="1" applyBorder="1" applyAlignment="1">
      <alignment horizontal="center" wrapText="1"/>
    </xf>
    <xf numFmtId="44" fontId="2" fillId="0" borderId="10" xfId="206" applyBorder="1" applyAlignment="1">
      <alignment horizontal="center" wrapText="1"/>
    </xf>
    <xf numFmtId="2" fontId="2" fillId="0" borderId="10" xfId="206" applyNumberFormat="1" applyBorder="1" applyAlignment="1">
      <alignment horizontal="center" wrapText="1"/>
    </xf>
    <xf numFmtId="2" fontId="29" fillId="0" borderId="0" xfId="206" applyNumberFormat="1" applyFont="1" applyAlignment="1">
      <alignment horizontal="center" wrapText="1"/>
    </xf>
    <xf numFmtId="44" fontId="30" fillId="0" borderId="0" xfId="206" applyFont="1" applyAlignment="1">
      <alignment horizontal="center" wrapText="1"/>
    </xf>
    <xf numFmtId="44" fontId="31" fillId="0" borderId="0" xfId="206" applyFont="1" applyAlignment="1">
      <alignment horizontal="center" wrapText="1"/>
    </xf>
    <xf numFmtId="44" fontId="29" fillId="0" borderId="10" xfId="206" applyFont="1" applyBorder="1" applyAlignment="1">
      <alignment horizontal="center" wrapText="1"/>
    </xf>
    <xf numFmtId="2" fontId="2" fillId="0" borderId="37" xfId="226" applyNumberFormat="1" applyFont="1" applyBorder="1" applyAlignment="1">
      <alignment horizontal="right"/>
    </xf>
    <xf numFmtId="44" fontId="2" fillId="0" borderId="0" xfId="206" applyAlignment="1">
      <alignment horizontal="center"/>
    </xf>
    <xf numFmtId="44" fontId="2" fillId="0" borderId="38" xfId="206" applyBorder="1"/>
    <xf numFmtId="2" fontId="3" fillId="0" borderId="0" xfId="226" applyNumberFormat="1" applyFont="1" applyAlignment="1">
      <alignment horizontal="center" wrapText="1"/>
    </xf>
    <xf numFmtId="44" fontId="28" fillId="0" borderId="0" xfId="0" applyNumberFormat="1" applyFont="1" applyAlignment="1">
      <alignment wrapText="1"/>
    </xf>
    <xf numFmtId="0" fontId="28" fillId="0" borderId="0" xfId="0" applyFont="1"/>
    <xf numFmtId="44" fontId="30" fillId="0" borderId="12" xfId="206" applyFont="1" applyBorder="1" applyAlignment="1">
      <alignment horizontal="center" wrapText="1"/>
    </xf>
    <xf numFmtId="44" fontId="31" fillId="0" borderId="12" xfId="206" applyFont="1" applyBorder="1" applyAlignment="1">
      <alignment horizontal="center" wrapText="1"/>
    </xf>
    <xf numFmtId="2" fontId="29" fillId="0" borderId="12" xfId="206" applyNumberFormat="1" applyFont="1" applyBorder="1" applyAlignment="1">
      <alignment horizontal="center" wrapText="1"/>
    </xf>
    <xf numFmtId="2" fontId="2" fillId="0" borderId="0" xfId="206" applyNumberFormat="1" applyAlignment="1">
      <alignment horizontal="center" wrapText="1"/>
    </xf>
    <xf numFmtId="44" fontId="2" fillId="0" borderId="0" xfId="206" applyAlignment="1">
      <alignment horizontal="center" wrapText="1"/>
    </xf>
    <xf numFmtId="44" fontId="30" fillId="0" borderId="34" xfId="206" applyFont="1" applyBorder="1" applyAlignment="1">
      <alignment horizontal="center" wrapText="1"/>
    </xf>
    <xf numFmtId="44" fontId="29" fillId="0" borderId="12" xfId="206" applyFont="1" applyBorder="1" applyAlignment="1">
      <alignment horizontal="center" wrapText="1"/>
    </xf>
    <xf numFmtId="44" fontId="2" fillId="0" borderId="30" xfId="206" applyBorder="1" applyAlignment="1">
      <alignment horizontal="center"/>
    </xf>
    <xf numFmtId="2" fontId="2" fillId="0" borderId="39" xfId="206" applyNumberFormat="1" applyBorder="1" applyAlignment="1">
      <alignment horizontal="center"/>
    </xf>
    <xf numFmtId="44" fontId="2" fillId="0" borderId="37" xfId="206" applyBorder="1" applyAlignment="1">
      <alignment horizontal="center"/>
    </xf>
    <xf numFmtId="1" fontId="28" fillId="0" borderId="0" xfId="0" applyNumberFormat="1" applyFont="1" applyAlignment="1">
      <alignment horizontal="left"/>
    </xf>
    <xf numFmtId="44" fontId="28" fillId="0" borderId="0" xfId="0" applyNumberFormat="1" applyFont="1"/>
    <xf numFmtId="14" fontId="28" fillId="0" borderId="0" xfId="0" applyNumberFormat="1" applyFont="1"/>
    <xf numFmtId="44" fontId="2" fillId="0" borderId="30" xfId="226" applyNumberFormat="1" applyFont="1" applyBorder="1" applyAlignment="1">
      <alignment horizontal="center"/>
    </xf>
    <xf numFmtId="2" fontId="2" fillId="0" borderId="39" xfId="226" applyNumberFormat="1" applyFont="1" applyBorder="1" applyAlignment="1">
      <alignment horizontal="center"/>
    </xf>
    <xf numFmtId="44" fontId="2" fillId="0" borderId="37" xfId="226" applyNumberFormat="1" applyFont="1" applyBorder="1" applyAlignment="1">
      <alignment horizontal="center"/>
    </xf>
    <xf numFmtId="44" fontId="2" fillId="0" borderId="0" xfId="0" applyNumberFormat="1" applyFont="1"/>
    <xf numFmtId="14" fontId="2" fillId="0" borderId="0" xfId="0" applyNumberFormat="1" applyFont="1"/>
    <xf numFmtId="44" fontId="28" fillId="0" borderId="10" xfId="0" applyNumberFormat="1" applyFont="1" applyBorder="1"/>
    <xf numFmtId="44" fontId="28" fillId="0" borderId="29" xfId="0" applyNumberFormat="1" applyFont="1" applyBorder="1"/>
    <xf numFmtId="14" fontId="28" fillId="0" borderId="35" xfId="0" applyNumberFormat="1" applyFont="1" applyBorder="1"/>
    <xf numFmtId="44" fontId="2" fillId="0" borderId="39" xfId="206" applyBorder="1"/>
    <xf numFmtId="44" fontId="28" fillId="0" borderId="30" xfId="0" applyNumberFormat="1" applyFont="1" applyBorder="1"/>
    <xf numFmtId="14" fontId="28" fillId="0" borderId="34" xfId="0" applyNumberFormat="1" applyFont="1" applyBorder="1"/>
    <xf numFmtId="44" fontId="28" fillId="0" borderId="31" xfId="0" applyNumberFormat="1" applyFont="1" applyBorder="1"/>
    <xf numFmtId="14" fontId="28" fillId="0" borderId="36" xfId="0" applyNumberFormat="1" applyFont="1" applyBorder="1"/>
    <xf numFmtId="0" fontId="32" fillId="0" borderId="0" xfId="0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right"/>
    </xf>
    <xf numFmtId="44" fontId="32" fillId="0" borderId="0" xfId="0" applyNumberFormat="1" applyFont="1"/>
    <xf numFmtId="44" fontId="28" fillId="0" borderId="0" xfId="0" applyNumberFormat="1" applyFont="1" applyAlignment="1">
      <alignment horizontal="left"/>
    </xf>
    <xf numFmtId="0" fontId="2" fillId="0" borderId="0" xfId="0" applyFont="1"/>
    <xf numFmtId="44" fontId="30" fillId="0" borderId="41" xfId="206" applyFont="1" applyBorder="1" applyAlignment="1">
      <alignment horizontal="center" wrapText="1"/>
    </xf>
    <xf numFmtId="44" fontId="31" fillId="0" borderId="11" xfId="206" applyFont="1" applyBorder="1" applyAlignment="1">
      <alignment horizontal="center" wrapText="1"/>
    </xf>
    <xf numFmtId="44" fontId="29" fillId="0" borderId="33" xfId="206" applyFont="1" applyBorder="1" applyAlignment="1">
      <alignment horizontal="center" wrapText="1"/>
    </xf>
    <xf numFmtId="2" fontId="3" fillId="0" borderId="33" xfId="226" applyNumberFormat="1" applyFont="1" applyBorder="1" applyAlignment="1">
      <alignment horizontal="center" wrapText="1"/>
    </xf>
    <xf numFmtId="44" fontId="33" fillId="0" borderId="33" xfId="226" applyNumberFormat="1" applyFont="1" applyBorder="1" applyAlignment="1">
      <alignment horizontal="center" wrapText="1"/>
    </xf>
    <xf numFmtId="44" fontId="34" fillId="0" borderId="33" xfId="226" applyNumberFormat="1" applyFont="1" applyBorder="1" applyAlignment="1">
      <alignment horizontal="center" wrapText="1"/>
    </xf>
    <xf numFmtId="169" fontId="3" fillId="0" borderId="33" xfId="226" applyFont="1" applyBorder="1" applyAlignment="1">
      <alignment horizontal="center" wrapText="1"/>
    </xf>
    <xf numFmtId="8" fontId="2" fillId="0" borderId="30" xfId="226" applyNumberFormat="1" applyFont="1" applyBorder="1" applyAlignment="1">
      <alignment horizontal="center"/>
    </xf>
    <xf numFmtId="8" fontId="2" fillId="0" borderId="12" xfId="206" applyNumberFormat="1" applyBorder="1" applyAlignment="1">
      <alignment horizontal="center"/>
    </xf>
    <xf numFmtId="44" fontId="2" fillId="0" borderId="40" xfId="206" applyBorder="1" applyAlignment="1">
      <alignment horizontal="center"/>
    </xf>
    <xf numFmtId="0" fontId="28" fillId="0" borderId="39" xfId="0" applyFont="1" applyBorder="1" applyAlignment="1">
      <alignment horizontal="center"/>
    </xf>
    <xf numFmtId="44" fontId="28" fillId="0" borderId="37" xfId="0" applyNumberFormat="1" applyFont="1" applyBorder="1"/>
    <xf numFmtId="2" fontId="28" fillId="0" borderId="37" xfId="0" applyNumberFormat="1" applyFont="1" applyBorder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44" fontId="23" fillId="0" borderId="0" xfId="0" applyNumberFormat="1" applyFont="1" applyFill="1"/>
    <xf numFmtId="44" fontId="23" fillId="0" borderId="0" xfId="0" applyNumberFormat="1" applyFont="1" applyFill="1" applyAlignment="1">
      <alignment horizontal="center"/>
    </xf>
    <xf numFmtId="10" fontId="23" fillId="0" borderId="0" xfId="0" applyNumberFormat="1" applyFont="1" applyFill="1" applyAlignment="1">
      <alignment horizontal="center"/>
    </xf>
    <xf numFmtId="44" fontId="3" fillId="0" borderId="0" xfId="206" applyFont="1"/>
    <xf numFmtId="44" fontId="3" fillId="0" borderId="0" xfId="206" applyFont="1" applyAlignment="1"/>
    <xf numFmtId="169" fontId="2" fillId="0" borderId="0" xfId="226" applyFont="1" applyFill="1" applyAlignment="1">
      <alignment horizontal="left"/>
    </xf>
    <xf numFmtId="0" fontId="28" fillId="0" borderId="0" xfId="0" applyFont="1" applyFill="1" applyAlignment="1">
      <alignment horizontal="left"/>
    </xf>
    <xf numFmtId="2" fontId="3" fillId="0" borderId="0" xfId="206" applyNumberFormat="1" applyFont="1" applyFill="1" applyAlignment="1">
      <alignment horizontal="center"/>
    </xf>
    <xf numFmtId="44" fontId="3" fillId="0" borderId="0" xfId="206" applyFont="1" applyFill="1" applyAlignment="1">
      <alignment horizontal="center"/>
    </xf>
    <xf numFmtId="8" fontId="23" fillId="0" borderId="0" xfId="0" applyNumberFormat="1" applyFont="1" applyFill="1" applyAlignment="1">
      <alignment horizontal="center"/>
    </xf>
    <xf numFmtId="165" fontId="24" fillId="0" borderId="21" xfId="28" applyNumberFormat="1" applyFont="1" applyFill="1" applyBorder="1" applyAlignment="1">
      <alignment horizontal="center"/>
    </xf>
    <xf numFmtId="9" fontId="2" fillId="0" borderId="0" xfId="42" applyFont="1"/>
    <xf numFmtId="44" fontId="2" fillId="0" borderId="0" xfId="29" applyFont="1"/>
    <xf numFmtId="44" fontId="24" fillId="0" borderId="19" xfId="29" applyFont="1" applyFill="1" applyBorder="1"/>
    <xf numFmtId="44" fontId="24" fillId="0" borderId="19" xfId="0" applyNumberFormat="1" applyFont="1" applyFill="1" applyBorder="1"/>
    <xf numFmtId="169" fontId="2" fillId="0" borderId="0" xfId="226" applyFont="1" applyFill="1" applyAlignment="1">
      <alignment horizontal="center" wrapText="1"/>
    </xf>
    <xf numFmtId="0" fontId="28" fillId="0" borderId="0" xfId="0" applyFont="1" applyFill="1" applyAlignment="1">
      <alignment horizontal="right"/>
    </xf>
    <xf numFmtId="1" fontId="28" fillId="0" borderId="0" xfId="0" applyNumberFormat="1" applyFont="1" applyFill="1" applyAlignment="1">
      <alignment horizontal="left"/>
    </xf>
    <xf numFmtId="44" fontId="2" fillId="0" borderId="0" xfId="206" applyFill="1" applyAlignment="1">
      <alignment horizontal="center"/>
    </xf>
    <xf numFmtId="44" fontId="2" fillId="0" borderId="30" xfId="206" applyFill="1" applyBorder="1" applyAlignment="1">
      <alignment horizontal="center"/>
    </xf>
    <xf numFmtId="0" fontId="28" fillId="0" borderId="37" xfId="0" applyFont="1" applyFill="1" applyBorder="1" applyAlignment="1">
      <alignment horizontal="center"/>
    </xf>
    <xf numFmtId="2" fontId="3" fillId="0" borderId="0" xfId="226" applyNumberFormat="1" applyFont="1" applyFill="1"/>
    <xf numFmtId="2" fontId="2" fillId="0" borderId="37" xfId="226" applyNumberFormat="1" applyFont="1" applyFill="1" applyBorder="1" applyAlignment="1">
      <alignment horizontal="right"/>
    </xf>
    <xf numFmtId="44" fontId="2" fillId="0" borderId="12" xfId="206" applyFill="1" applyBorder="1" applyAlignment="1">
      <alignment horizontal="center"/>
    </xf>
    <xf numFmtId="169" fontId="3" fillId="0" borderId="32" xfId="226" applyFont="1" applyFill="1" applyBorder="1" applyAlignment="1">
      <alignment horizontal="right" wrapText="1"/>
    </xf>
    <xf numFmtId="44" fontId="2" fillId="0" borderId="34" xfId="206" applyFill="1" applyBorder="1"/>
    <xf numFmtId="44" fontId="2" fillId="0" borderId="37" xfId="206" applyFill="1" applyBorder="1" applyAlignment="1">
      <alignment horizontal="center"/>
    </xf>
    <xf numFmtId="169" fontId="2" fillId="0" borderId="12" xfId="226" applyFont="1" applyFill="1" applyBorder="1" applyAlignment="1">
      <alignment horizontal="center" wrapText="1"/>
    </xf>
    <xf numFmtId="14" fontId="28" fillId="0" borderId="0" xfId="0" applyNumberFormat="1" applyFont="1" applyFill="1"/>
    <xf numFmtId="44" fontId="2" fillId="0" borderId="38" xfId="206" applyFill="1" applyBorder="1" applyAlignment="1">
      <alignment horizontal="center"/>
    </xf>
    <xf numFmtId="44" fontId="2" fillId="0" borderId="34" xfId="206" applyFill="1" applyBorder="1" applyAlignment="1">
      <alignment horizontal="center"/>
    </xf>
    <xf numFmtId="169" fontId="3" fillId="0" borderId="30" xfId="226" applyFont="1" applyFill="1" applyBorder="1" applyAlignment="1">
      <alignment horizontal="center"/>
    </xf>
    <xf numFmtId="44" fontId="28" fillId="0" borderId="0" xfId="0" applyNumberFormat="1" applyFont="1" applyFill="1"/>
    <xf numFmtId="44" fontId="2" fillId="0" borderId="38" xfId="206" applyFill="1" applyBorder="1"/>
    <xf numFmtId="2" fontId="2" fillId="0" borderId="39" xfId="206" applyNumberFormat="1" applyFill="1" applyBorder="1" applyAlignment="1">
      <alignment horizontal="center"/>
    </xf>
    <xf numFmtId="169" fontId="2" fillId="0" borderId="37" xfId="226" applyFont="1" applyFill="1" applyBorder="1" applyAlignment="1">
      <alignment horizontal="center"/>
    </xf>
    <xf numFmtId="169" fontId="2" fillId="0" borderId="0" xfId="226" applyFont="1" applyAlignment="1">
      <alignment horizontal="left"/>
    </xf>
    <xf numFmtId="169" fontId="2" fillId="0" borderId="35" xfId="226" applyFont="1" applyBorder="1" applyAlignment="1">
      <alignment horizontal="left"/>
    </xf>
    <xf numFmtId="169" fontId="2" fillId="0" borderId="34" xfId="226" applyFont="1" applyBorder="1" applyAlignment="1">
      <alignment horizontal="left"/>
    </xf>
    <xf numFmtId="0" fontId="28" fillId="0" borderId="0" xfId="218" applyFont="1" applyAlignment="1">
      <alignment horizontal="left"/>
    </xf>
    <xf numFmtId="169" fontId="29" fillId="0" borderId="33" xfId="226" applyFont="1" applyBorder="1" applyAlignment="1">
      <alignment horizontal="center"/>
    </xf>
    <xf numFmtId="0" fontId="23" fillId="0" borderId="0" xfId="218" applyFont="1" applyFill="1"/>
    <xf numFmtId="8" fontId="2" fillId="0" borderId="0" xfId="39" applyNumberFormat="1" applyFill="1" applyAlignment="1">
      <alignment horizontal="center"/>
    </xf>
    <xf numFmtId="9" fontId="2" fillId="0" borderId="0" xfId="39" applyNumberFormat="1" applyFill="1" applyAlignment="1">
      <alignment horizontal="center"/>
    </xf>
    <xf numFmtId="10" fontId="2" fillId="0" borderId="0" xfId="39" applyNumberFormat="1" applyFill="1" applyAlignment="1">
      <alignment horizontal="center"/>
    </xf>
    <xf numFmtId="44" fontId="28" fillId="0" borderId="42" xfId="0" applyNumberFormat="1" applyFont="1" applyBorder="1" applyAlignment="1">
      <alignment horizontal="center"/>
    </xf>
    <xf numFmtId="44" fontId="28" fillId="0" borderId="19" xfId="0" applyNumberFormat="1" applyFont="1" applyBorder="1"/>
    <xf numFmtId="44" fontId="28" fillId="0" borderId="19" xfId="0" applyNumberFormat="1" applyFont="1" applyBorder="1" applyAlignment="1">
      <alignment horizontal="center"/>
    </xf>
    <xf numFmtId="44" fontId="28" fillId="0" borderId="19" xfId="0" applyNumberFormat="1" applyFont="1" applyFill="1" applyBorder="1" applyAlignment="1">
      <alignment horizontal="right"/>
    </xf>
    <xf numFmtId="44" fontId="28" fillId="0" borderId="19" xfId="0" applyNumberFormat="1" applyFont="1" applyBorder="1" applyAlignment="1">
      <alignment horizontal="right"/>
    </xf>
    <xf numFmtId="44" fontId="2" fillId="0" borderId="19" xfId="0" applyNumberFormat="1" applyFont="1" applyBorder="1"/>
    <xf numFmtId="44" fontId="28" fillId="0" borderId="43" xfId="0" applyNumberFormat="1" applyFont="1" applyBorder="1" applyAlignment="1">
      <alignment horizontal="left"/>
    </xf>
    <xf numFmtId="0" fontId="28" fillId="0" borderId="0" xfId="0" applyFont="1" applyFill="1"/>
    <xf numFmtId="2" fontId="28" fillId="0" borderId="0" xfId="0" applyNumberFormat="1" applyFont="1" applyFill="1"/>
    <xf numFmtId="169" fontId="3" fillId="0" borderId="0" xfId="226" applyFont="1" applyFill="1" applyAlignment="1">
      <alignment horizontal="center" wrapText="1"/>
    </xf>
    <xf numFmtId="2" fontId="3" fillId="0" borderId="0" xfId="226" applyNumberFormat="1" applyFont="1" applyFill="1" applyAlignment="1">
      <alignment horizontal="center" wrapText="1"/>
    </xf>
    <xf numFmtId="1" fontId="2" fillId="0" borderId="0" xfId="0" applyNumberFormat="1" applyFont="1" applyFill="1" applyAlignment="1">
      <alignment horizontal="left"/>
    </xf>
    <xf numFmtId="44" fontId="28" fillId="0" borderId="34" xfId="0" applyNumberFormat="1" applyFont="1" applyFill="1" applyBorder="1"/>
    <xf numFmtId="0" fontId="32" fillId="0" borderId="0" xfId="0" applyFont="1" applyFill="1"/>
    <xf numFmtId="44" fontId="28" fillId="0" borderId="38" xfId="29" applyFont="1" applyFill="1" applyBorder="1"/>
    <xf numFmtId="0" fontId="24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 applyFill="1"/>
    <xf numFmtId="0" fontId="3" fillId="0" borderId="0" xfId="39" applyFont="1" applyAlignment="1">
      <alignment horizontal="center"/>
    </xf>
  </cellXfs>
  <cellStyles count="232">
    <cellStyle name="20% - Accent1" xfId="1" builtinId="30" customBuiltin="1"/>
    <cellStyle name="20% - Accent1 2" xfId="47" xr:uid="{00000000-0005-0000-0000-000001000000}"/>
    <cellStyle name="20% - Accent1 3" xfId="90" xr:uid="{00000000-0005-0000-0000-000002000000}"/>
    <cellStyle name="20% - Accent1 4" xfId="132" xr:uid="{00000000-0005-0000-0000-000003000000}"/>
    <cellStyle name="20% - Accent1 5" xfId="175" xr:uid="{00000000-0005-0000-0000-000004000000}"/>
    <cellStyle name="20% - Accent2" xfId="2" builtinId="34" customBuiltin="1"/>
    <cellStyle name="20% - Accent2 2" xfId="48" xr:uid="{00000000-0005-0000-0000-000006000000}"/>
    <cellStyle name="20% - Accent2 3" xfId="91" xr:uid="{00000000-0005-0000-0000-000007000000}"/>
    <cellStyle name="20% - Accent2 4" xfId="133" xr:uid="{00000000-0005-0000-0000-000008000000}"/>
    <cellStyle name="20% - Accent2 5" xfId="176" xr:uid="{00000000-0005-0000-0000-000009000000}"/>
    <cellStyle name="20% - Accent3" xfId="3" builtinId="38" customBuiltin="1"/>
    <cellStyle name="20% - Accent3 2" xfId="49" xr:uid="{00000000-0005-0000-0000-00000B000000}"/>
    <cellStyle name="20% - Accent3 3" xfId="92" xr:uid="{00000000-0005-0000-0000-00000C000000}"/>
    <cellStyle name="20% - Accent3 4" xfId="134" xr:uid="{00000000-0005-0000-0000-00000D000000}"/>
    <cellStyle name="20% - Accent3 5" xfId="177" xr:uid="{00000000-0005-0000-0000-00000E000000}"/>
    <cellStyle name="20% - Accent4" xfId="4" builtinId="42" customBuiltin="1"/>
    <cellStyle name="20% - Accent4 2" xfId="50" xr:uid="{00000000-0005-0000-0000-000010000000}"/>
    <cellStyle name="20% - Accent4 3" xfId="93" xr:uid="{00000000-0005-0000-0000-000011000000}"/>
    <cellStyle name="20% - Accent4 4" xfId="135" xr:uid="{00000000-0005-0000-0000-000012000000}"/>
    <cellStyle name="20% - Accent4 5" xfId="178" xr:uid="{00000000-0005-0000-0000-000013000000}"/>
    <cellStyle name="20% - Accent5" xfId="5" builtinId="46" customBuiltin="1"/>
    <cellStyle name="20% - Accent5 2" xfId="51" xr:uid="{00000000-0005-0000-0000-000015000000}"/>
    <cellStyle name="20% - Accent5 3" xfId="94" xr:uid="{00000000-0005-0000-0000-000016000000}"/>
    <cellStyle name="20% - Accent5 4" xfId="136" xr:uid="{00000000-0005-0000-0000-000017000000}"/>
    <cellStyle name="20% - Accent5 5" xfId="179" xr:uid="{00000000-0005-0000-0000-000018000000}"/>
    <cellStyle name="20% - Accent6" xfId="6" builtinId="50" customBuiltin="1"/>
    <cellStyle name="20% - Accent6 2" xfId="52" xr:uid="{00000000-0005-0000-0000-00001A000000}"/>
    <cellStyle name="20% - Accent6 3" xfId="95" xr:uid="{00000000-0005-0000-0000-00001B000000}"/>
    <cellStyle name="20% - Accent6 4" xfId="137" xr:uid="{00000000-0005-0000-0000-00001C000000}"/>
    <cellStyle name="20% - Accent6 5" xfId="180" xr:uid="{00000000-0005-0000-0000-00001D000000}"/>
    <cellStyle name="40% - Accent1" xfId="7" builtinId="31" customBuiltin="1"/>
    <cellStyle name="40% - Accent1 2" xfId="53" xr:uid="{00000000-0005-0000-0000-00001F000000}"/>
    <cellStyle name="40% - Accent1 3" xfId="96" xr:uid="{00000000-0005-0000-0000-000020000000}"/>
    <cellStyle name="40% - Accent1 4" xfId="138" xr:uid="{00000000-0005-0000-0000-000021000000}"/>
    <cellStyle name="40% - Accent1 5" xfId="181" xr:uid="{00000000-0005-0000-0000-000022000000}"/>
    <cellStyle name="40% - Accent2" xfId="8" builtinId="35" customBuiltin="1"/>
    <cellStyle name="40% - Accent2 2" xfId="54" xr:uid="{00000000-0005-0000-0000-000024000000}"/>
    <cellStyle name="40% - Accent2 3" xfId="97" xr:uid="{00000000-0005-0000-0000-000025000000}"/>
    <cellStyle name="40% - Accent2 4" xfId="139" xr:uid="{00000000-0005-0000-0000-000026000000}"/>
    <cellStyle name="40% - Accent2 5" xfId="182" xr:uid="{00000000-0005-0000-0000-000027000000}"/>
    <cellStyle name="40% - Accent3" xfId="9" builtinId="39" customBuiltin="1"/>
    <cellStyle name="40% - Accent3 2" xfId="55" xr:uid="{00000000-0005-0000-0000-000029000000}"/>
    <cellStyle name="40% - Accent3 3" xfId="98" xr:uid="{00000000-0005-0000-0000-00002A000000}"/>
    <cellStyle name="40% - Accent3 4" xfId="140" xr:uid="{00000000-0005-0000-0000-00002B000000}"/>
    <cellStyle name="40% - Accent3 5" xfId="183" xr:uid="{00000000-0005-0000-0000-00002C000000}"/>
    <cellStyle name="40% - Accent4" xfId="10" builtinId="43" customBuiltin="1"/>
    <cellStyle name="40% - Accent4 2" xfId="56" xr:uid="{00000000-0005-0000-0000-00002E000000}"/>
    <cellStyle name="40% - Accent4 3" xfId="99" xr:uid="{00000000-0005-0000-0000-00002F000000}"/>
    <cellStyle name="40% - Accent4 4" xfId="141" xr:uid="{00000000-0005-0000-0000-000030000000}"/>
    <cellStyle name="40% - Accent4 5" xfId="184" xr:uid="{00000000-0005-0000-0000-000031000000}"/>
    <cellStyle name="40% - Accent5" xfId="11" builtinId="47" customBuiltin="1"/>
    <cellStyle name="40% - Accent5 2" xfId="57" xr:uid="{00000000-0005-0000-0000-000033000000}"/>
    <cellStyle name="40% - Accent5 3" xfId="100" xr:uid="{00000000-0005-0000-0000-000034000000}"/>
    <cellStyle name="40% - Accent5 4" xfId="142" xr:uid="{00000000-0005-0000-0000-000035000000}"/>
    <cellStyle name="40% - Accent5 5" xfId="185" xr:uid="{00000000-0005-0000-0000-000036000000}"/>
    <cellStyle name="40% - Accent6" xfId="12" builtinId="51" customBuiltin="1"/>
    <cellStyle name="40% - Accent6 2" xfId="58" xr:uid="{00000000-0005-0000-0000-000038000000}"/>
    <cellStyle name="40% - Accent6 3" xfId="101" xr:uid="{00000000-0005-0000-0000-000039000000}"/>
    <cellStyle name="40% - Accent6 4" xfId="143" xr:uid="{00000000-0005-0000-0000-00003A000000}"/>
    <cellStyle name="40% - Accent6 5" xfId="186" xr:uid="{00000000-0005-0000-0000-00003B000000}"/>
    <cellStyle name="60% - Accent1" xfId="13" builtinId="32" customBuiltin="1"/>
    <cellStyle name="60% - Accent1 2" xfId="59" xr:uid="{00000000-0005-0000-0000-00003D000000}"/>
    <cellStyle name="60% - Accent1 3" xfId="102" xr:uid="{00000000-0005-0000-0000-00003E000000}"/>
    <cellStyle name="60% - Accent1 4" xfId="144" xr:uid="{00000000-0005-0000-0000-00003F000000}"/>
    <cellStyle name="60% - Accent1 5" xfId="187" xr:uid="{00000000-0005-0000-0000-000040000000}"/>
    <cellStyle name="60% - Accent2" xfId="14" builtinId="36" customBuiltin="1"/>
    <cellStyle name="60% - Accent2 2" xfId="60" xr:uid="{00000000-0005-0000-0000-000042000000}"/>
    <cellStyle name="60% - Accent2 3" xfId="103" xr:uid="{00000000-0005-0000-0000-000043000000}"/>
    <cellStyle name="60% - Accent2 4" xfId="145" xr:uid="{00000000-0005-0000-0000-000044000000}"/>
    <cellStyle name="60% - Accent2 5" xfId="188" xr:uid="{00000000-0005-0000-0000-000045000000}"/>
    <cellStyle name="60% - Accent3" xfId="15" builtinId="40" customBuiltin="1"/>
    <cellStyle name="60% - Accent3 2" xfId="61" xr:uid="{00000000-0005-0000-0000-000047000000}"/>
    <cellStyle name="60% - Accent3 3" xfId="104" xr:uid="{00000000-0005-0000-0000-000048000000}"/>
    <cellStyle name="60% - Accent3 4" xfId="146" xr:uid="{00000000-0005-0000-0000-000049000000}"/>
    <cellStyle name="60% - Accent3 5" xfId="189" xr:uid="{00000000-0005-0000-0000-00004A000000}"/>
    <cellStyle name="60% - Accent4" xfId="16" builtinId="44" customBuiltin="1"/>
    <cellStyle name="60% - Accent4 2" xfId="62" xr:uid="{00000000-0005-0000-0000-00004C000000}"/>
    <cellStyle name="60% - Accent4 3" xfId="105" xr:uid="{00000000-0005-0000-0000-00004D000000}"/>
    <cellStyle name="60% - Accent4 4" xfId="147" xr:uid="{00000000-0005-0000-0000-00004E000000}"/>
    <cellStyle name="60% - Accent4 5" xfId="190" xr:uid="{00000000-0005-0000-0000-00004F000000}"/>
    <cellStyle name="60% - Accent5" xfId="17" builtinId="48" customBuiltin="1"/>
    <cellStyle name="60% - Accent5 2" xfId="63" xr:uid="{00000000-0005-0000-0000-000051000000}"/>
    <cellStyle name="60% - Accent5 3" xfId="106" xr:uid="{00000000-0005-0000-0000-000052000000}"/>
    <cellStyle name="60% - Accent5 4" xfId="148" xr:uid="{00000000-0005-0000-0000-000053000000}"/>
    <cellStyle name="60% - Accent5 5" xfId="191" xr:uid="{00000000-0005-0000-0000-000054000000}"/>
    <cellStyle name="60% - Accent6" xfId="18" builtinId="52" customBuiltin="1"/>
    <cellStyle name="60% - Accent6 2" xfId="64" xr:uid="{00000000-0005-0000-0000-000056000000}"/>
    <cellStyle name="60% - Accent6 3" xfId="107" xr:uid="{00000000-0005-0000-0000-000057000000}"/>
    <cellStyle name="60% - Accent6 4" xfId="149" xr:uid="{00000000-0005-0000-0000-000058000000}"/>
    <cellStyle name="60% - Accent6 5" xfId="192" xr:uid="{00000000-0005-0000-0000-000059000000}"/>
    <cellStyle name="Accent1" xfId="19" builtinId="29" customBuiltin="1"/>
    <cellStyle name="Accent1 2" xfId="65" xr:uid="{00000000-0005-0000-0000-00005B000000}"/>
    <cellStyle name="Accent1 3" xfId="108" xr:uid="{00000000-0005-0000-0000-00005C000000}"/>
    <cellStyle name="Accent1 4" xfId="150" xr:uid="{00000000-0005-0000-0000-00005D000000}"/>
    <cellStyle name="Accent1 5" xfId="193" xr:uid="{00000000-0005-0000-0000-00005E000000}"/>
    <cellStyle name="Accent2" xfId="20" builtinId="33" customBuiltin="1"/>
    <cellStyle name="Accent2 2" xfId="66" xr:uid="{00000000-0005-0000-0000-000060000000}"/>
    <cellStyle name="Accent2 3" xfId="109" xr:uid="{00000000-0005-0000-0000-000061000000}"/>
    <cellStyle name="Accent2 4" xfId="151" xr:uid="{00000000-0005-0000-0000-000062000000}"/>
    <cellStyle name="Accent2 5" xfId="194" xr:uid="{00000000-0005-0000-0000-000063000000}"/>
    <cellStyle name="Accent3" xfId="21" builtinId="37" customBuiltin="1"/>
    <cellStyle name="Accent3 2" xfId="67" xr:uid="{00000000-0005-0000-0000-000065000000}"/>
    <cellStyle name="Accent3 3" xfId="110" xr:uid="{00000000-0005-0000-0000-000066000000}"/>
    <cellStyle name="Accent3 4" xfId="152" xr:uid="{00000000-0005-0000-0000-000067000000}"/>
    <cellStyle name="Accent3 5" xfId="195" xr:uid="{00000000-0005-0000-0000-000068000000}"/>
    <cellStyle name="Accent4" xfId="22" builtinId="41" customBuiltin="1"/>
    <cellStyle name="Accent4 2" xfId="68" xr:uid="{00000000-0005-0000-0000-00006A000000}"/>
    <cellStyle name="Accent4 3" xfId="111" xr:uid="{00000000-0005-0000-0000-00006B000000}"/>
    <cellStyle name="Accent4 4" xfId="153" xr:uid="{00000000-0005-0000-0000-00006C000000}"/>
    <cellStyle name="Accent4 5" xfId="196" xr:uid="{00000000-0005-0000-0000-00006D000000}"/>
    <cellStyle name="Accent5" xfId="23" builtinId="45" customBuiltin="1"/>
    <cellStyle name="Accent5 2" xfId="69" xr:uid="{00000000-0005-0000-0000-00006F000000}"/>
    <cellStyle name="Accent5 3" xfId="112" xr:uid="{00000000-0005-0000-0000-000070000000}"/>
    <cellStyle name="Accent5 4" xfId="154" xr:uid="{00000000-0005-0000-0000-000071000000}"/>
    <cellStyle name="Accent5 5" xfId="197" xr:uid="{00000000-0005-0000-0000-000072000000}"/>
    <cellStyle name="Accent6" xfId="24" builtinId="49" customBuiltin="1"/>
    <cellStyle name="Accent6 2" xfId="70" xr:uid="{00000000-0005-0000-0000-000074000000}"/>
    <cellStyle name="Accent6 3" xfId="113" xr:uid="{00000000-0005-0000-0000-000075000000}"/>
    <cellStyle name="Accent6 4" xfId="155" xr:uid="{00000000-0005-0000-0000-000076000000}"/>
    <cellStyle name="Accent6 5" xfId="198" xr:uid="{00000000-0005-0000-0000-000077000000}"/>
    <cellStyle name="Bad" xfId="25" builtinId="27" customBuiltin="1"/>
    <cellStyle name="Bad 2" xfId="71" xr:uid="{00000000-0005-0000-0000-000079000000}"/>
    <cellStyle name="Bad 3" xfId="114" xr:uid="{00000000-0005-0000-0000-00007A000000}"/>
    <cellStyle name="Bad 4" xfId="156" xr:uid="{00000000-0005-0000-0000-00007B000000}"/>
    <cellStyle name="Bad 5" xfId="199" xr:uid="{00000000-0005-0000-0000-00007C000000}"/>
    <cellStyle name="Calculation" xfId="26" builtinId="22" customBuiltin="1"/>
    <cellStyle name="Calculation 2" xfId="72" xr:uid="{00000000-0005-0000-0000-00007E000000}"/>
    <cellStyle name="Calculation 3" xfId="115" xr:uid="{00000000-0005-0000-0000-00007F000000}"/>
    <cellStyle name="Calculation 4" xfId="157" xr:uid="{00000000-0005-0000-0000-000080000000}"/>
    <cellStyle name="Calculation 5" xfId="200" xr:uid="{00000000-0005-0000-0000-000081000000}"/>
    <cellStyle name="Check Cell" xfId="27" builtinId="23" customBuiltin="1"/>
    <cellStyle name="Check Cell 2" xfId="73" xr:uid="{00000000-0005-0000-0000-000083000000}"/>
    <cellStyle name="Check Cell 3" xfId="116" xr:uid="{00000000-0005-0000-0000-000084000000}"/>
    <cellStyle name="Check Cell 4" xfId="158" xr:uid="{00000000-0005-0000-0000-000085000000}"/>
    <cellStyle name="Check Cell 5" xfId="201" xr:uid="{00000000-0005-0000-0000-000086000000}"/>
    <cellStyle name="Comma" xfId="28" builtinId="3"/>
    <cellStyle name="Comma 2" xfId="74" xr:uid="{00000000-0005-0000-0000-000088000000}"/>
    <cellStyle name="Comma 3" xfId="203" xr:uid="{00000000-0005-0000-0000-000089000000}"/>
    <cellStyle name="Comma 4" xfId="204" xr:uid="{00000000-0005-0000-0000-00008A000000}"/>
    <cellStyle name="Comma 5" xfId="202" xr:uid="{00000000-0005-0000-0000-00008B000000}"/>
    <cellStyle name="Comma 5 2" xfId="230" xr:uid="{00000000-0005-0000-0000-00008C000000}"/>
    <cellStyle name="Currency" xfId="29" builtinId="4"/>
    <cellStyle name="Currency 2" xfId="75" xr:uid="{00000000-0005-0000-0000-00008E000000}"/>
    <cellStyle name="Currency 3" xfId="117" xr:uid="{00000000-0005-0000-0000-00008F000000}"/>
    <cellStyle name="Currency 4" xfId="159" xr:uid="{00000000-0005-0000-0000-000090000000}"/>
    <cellStyle name="Currency 5" xfId="206" xr:uid="{00000000-0005-0000-0000-000091000000}"/>
    <cellStyle name="Currency 6" xfId="207" xr:uid="{00000000-0005-0000-0000-000092000000}"/>
    <cellStyle name="Currency 7" xfId="205" xr:uid="{00000000-0005-0000-0000-000093000000}"/>
    <cellStyle name="Currency 7 2" xfId="231" xr:uid="{00000000-0005-0000-0000-000094000000}"/>
    <cellStyle name="Explanatory Text" xfId="30" builtinId="53" customBuiltin="1"/>
    <cellStyle name="Explanatory Text 2" xfId="76" xr:uid="{00000000-0005-0000-0000-000096000000}"/>
    <cellStyle name="Explanatory Text 3" xfId="118" xr:uid="{00000000-0005-0000-0000-000097000000}"/>
    <cellStyle name="Explanatory Text 4" xfId="160" xr:uid="{00000000-0005-0000-0000-000098000000}"/>
    <cellStyle name="Explanatory Text 5" xfId="208" xr:uid="{00000000-0005-0000-0000-000099000000}"/>
    <cellStyle name="Good" xfId="31" builtinId="26" customBuiltin="1"/>
    <cellStyle name="Good 2" xfId="77" xr:uid="{00000000-0005-0000-0000-00009B000000}"/>
    <cellStyle name="Good 3" xfId="119" xr:uid="{00000000-0005-0000-0000-00009C000000}"/>
    <cellStyle name="Good 4" xfId="161" xr:uid="{00000000-0005-0000-0000-00009D000000}"/>
    <cellStyle name="Good 5" xfId="209" xr:uid="{00000000-0005-0000-0000-00009E000000}"/>
    <cellStyle name="Heading 1" xfId="32" builtinId="16" customBuiltin="1"/>
    <cellStyle name="Heading 1 2" xfId="78" xr:uid="{00000000-0005-0000-0000-0000A0000000}"/>
    <cellStyle name="Heading 1 3" xfId="120" xr:uid="{00000000-0005-0000-0000-0000A1000000}"/>
    <cellStyle name="Heading 1 4" xfId="162" xr:uid="{00000000-0005-0000-0000-0000A2000000}"/>
    <cellStyle name="Heading 1 5" xfId="210" xr:uid="{00000000-0005-0000-0000-0000A3000000}"/>
    <cellStyle name="Heading 2" xfId="33" builtinId="17" customBuiltin="1"/>
    <cellStyle name="Heading 2 2" xfId="79" xr:uid="{00000000-0005-0000-0000-0000A5000000}"/>
    <cellStyle name="Heading 2 3" xfId="121" xr:uid="{00000000-0005-0000-0000-0000A6000000}"/>
    <cellStyle name="Heading 2 4" xfId="163" xr:uid="{00000000-0005-0000-0000-0000A7000000}"/>
    <cellStyle name="Heading 2 5" xfId="211" xr:uid="{00000000-0005-0000-0000-0000A8000000}"/>
    <cellStyle name="Heading 3" xfId="34" builtinId="18" customBuiltin="1"/>
    <cellStyle name="Heading 3 2" xfId="80" xr:uid="{00000000-0005-0000-0000-0000AA000000}"/>
    <cellStyle name="Heading 3 3" xfId="122" xr:uid="{00000000-0005-0000-0000-0000AB000000}"/>
    <cellStyle name="Heading 3 4" xfId="164" xr:uid="{00000000-0005-0000-0000-0000AC000000}"/>
    <cellStyle name="Heading 3 5" xfId="212" xr:uid="{00000000-0005-0000-0000-0000AD000000}"/>
    <cellStyle name="Heading 4" xfId="35" builtinId="19" customBuiltin="1"/>
    <cellStyle name="Heading 4 2" xfId="81" xr:uid="{00000000-0005-0000-0000-0000AF000000}"/>
    <cellStyle name="Heading 4 3" xfId="123" xr:uid="{00000000-0005-0000-0000-0000B0000000}"/>
    <cellStyle name="Heading 4 4" xfId="165" xr:uid="{00000000-0005-0000-0000-0000B1000000}"/>
    <cellStyle name="Heading 4 5" xfId="213" xr:uid="{00000000-0005-0000-0000-0000B2000000}"/>
    <cellStyle name="Input" xfId="36" builtinId="20" customBuiltin="1"/>
    <cellStyle name="Input 2" xfId="82" xr:uid="{00000000-0005-0000-0000-0000B4000000}"/>
    <cellStyle name="Input 3" xfId="124" xr:uid="{00000000-0005-0000-0000-0000B5000000}"/>
    <cellStyle name="Input 4" xfId="166" xr:uid="{00000000-0005-0000-0000-0000B6000000}"/>
    <cellStyle name="Input 5" xfId="214" xr:uid="{00000000-0005-0000-0000-0000B7000000}"/>
    <cellStyle name="Linked Cell" xfId="37" builtinId="24" customBuiltin="1"/>
    <cellStyle name="Linked Cell 2" xfId="83" xr:uid="{00000000-0005-0000-0000-0000B9000000}"/>
    <cellStyle name="Linked Cell 3" xfId="125" xr:uid="{00000000-0005-0000-0000-0000BA000000}"/>
    <cellStyle name="Linked Cell 4" xfId="167" xr:uid="{00000000-0005-0000-0000-0000BB000000}"/>
    <cellStyle name="Linked Cell 5" xfId="215" xr:uid="{00000000-0005-0000-0000-0000BC000000}"/>
    <cellStyle name="Neutral" xfId="38" builtinId="28" customBuiltin="1"/>
    <cellStyle name="Neutral 2" xfId="84" xr:uid="{00000000-0005-0000-0000-0000BE000000}"/>
    <cellStyle name="Neutral 3" xfId="126" xr:uid="{00000000-0005-0000-0000-0000BF000000}"/>
    <cellStyle name="Neutral 4" xfId="168" xr:uid="{00000000-0005-0000-0000-0000C0000000}"/>
    <cellStyle name="Neutral 5" xfId="216" xr:uid="{00000000-0005-0000-0000-0000C1000000}"/>
    <cellStyle name="Normal" xfId="0" builtinId="0"/>
    <cellStyle name="Normal 2" xfId="217" xr:uid="{00000000-0005-0000-0000-0000C3000000}"/>
    <cellStyle name="Normal 2 2" xfId="46" xr:uid="{00000000-0005-0000-0000-0000C4000000}"/>
    <cellStyle name="Normal 2 2 2" xfId="218" xr:uid="{00000000-0005-0000-0000-0000C5000000}"/>
    <cellStyle name="Normal 2 3" xfId="228" xr:uid="{00000000-0005-0000-0000-0000C6000000}"/>
    <cellStyle name="Normal 3" xfId="219" xr:uid="{00000000-0005-0000-0000-0000C7000000}"/>
    <cellStyle name="Normal 4" xfId="174" xr:uid="{00000000-0005-0000-0000-0000C8000000}"/>
    <cellStyle name="Normal 4 2" xfId="227" xr:uid="{00000000-0005-0000-0000-0000C9000000}"/>
    <cellStyle name="Normal 5" xfId="226" xr:uid="{00000000-0005-0000-0000-0000CA000000}"/>
    <cellStyle name="Normal_Copy of Avoided Cost adjusted Final" xfId="39" xr:uid="{00000000-0005-0000-0000-0000CB000000}"/>
    <cellStyle name="Normal_Copy of Avoided Cost adjusted Final 2" xfId="229" xr:uid="{00000000-0005-0000-0000-0000CC000000}"/>
    <cellStyle name="Note" xfId="40" builtinId="10" customBuiltin="1"/>
    <cellStyle name="Note 2" xfId="85" xr:uid="{00000000-0005-0000-0000-0000CE000000}"/>
    <cellStyle name="Note 3" xfId="127" xr:uid="{00000000-0005-0000-0000-0000CF000000}"/>
    <cellStyle name="Note 4" xfId="169" xr:uid="{00000000-0005-0000-0000-0000D0000000}"/>
    <cellStyle name="Note 5" xfId="220" xr:uid="{00000000-0005-0000-0000-0000D1000000}"/>
    <cellStyle name="Output" xfId="41" builtinId="21" customBuiltin="1"/>
    <cellStyle name="Output 2" xfId="86" xr:uid="{00000000-0005-0000-0000-0000D3000000}"/>
    <cellStyle name="Output 3" xfId="128" xr:uid="{00000000-0005-0000-0000-0000D4000000}"/>
    <cellStyle name="Output 4" xfId="170" xr:uid="{00000000-0005-0000-0000-0000D5000000}"/>
    <cellStyle name="Output 5" xfId="221" xr:uid="{00000000-0005-0000-0000-0000D6000000}"/>
    <cellStyle name="Percent" xfId="42" builtinId="5"/>
    <cellStyle name="Percent 2" xfId="222" xr:uid="{00000000-0005-0000-0000-0000D8000000}"/>
    <cellStyle name="Title" xfId="43" builtinId="15" customBuiltin="1"/>
    <cellStyle name="Title 2" xfId="87" xr:uid="{00000000-0005-0000-0000-0000DA000000}"/>
    <cellStyle name="Title 3" xfId="129" xr:uid="{00000000-0005-0000-0000-0000DB000000}"/>
    <cellStyle name="Title 4" xfId="171" xr:uid="{00000000-0005-0000-0000-0000DC000000}"/>
    <cellStyle name="Title 5" xfId="223" xr:uid="{00000000-0005-0000-0000-0000DD000000}"/>
    <cellStyle name="Total" xfId="44" builtinId="25" customBuiltin="1"/>
    <cellStyle name="Total 2" xfId="88" xr:uid="{00000000-0005-0000-0000-0000DF000000}"/>
    <cellStyle name="Total 3" xfId="130" xr:uid="{00000000-0005-0000-0000-0000E0000000}"/>
    <cellStyle name="Total 4" xfId="172" xr:uid="{00000000-0005-0000-0000-0000E1000000}"/>
    <cellStyle name="Total 5" xfId="224" xr:uid="{00000000-0005-0000-0000-0000E2000000}"/>
    <cellStyle name="Warning Text" xfId="45" builtinId="11" customBuiltin="1"/>
    <cellStyle name="Warning Text 2" xfId="89" xr:uid="{00000000-0005-0000-0000-0000E4000000}"/>
    <cellStyle name="Warning Text 3" xfId="131" xr:uid="{00000000-0005-0000-0000-0000E5000000}"/>
    <cellStyle name="Warning Text 4" xfId="173" xr:uid="{00000000-0005-0000-0000-0000E6000000}"/>
    <cellStyle name="Warning Text 5" xfId="225" xr:uid="{00000000-0005-0000-0000-0000E7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microsoft.com/office/2017/10/relationships/person" Target="persons/perso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Comml_Measures_C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Laron%20T/WA%20CPI/Tools_103006/DaveB/loadprofi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Cost%20Effectiveness%20calcul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im.abrahamson/Local%20Settings/Temporary%20Internet%20Files/Content.Outlook/Y0CQP8DK/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owlishaw, Monica" id="{FF3EBEC7-D4CA-4ED5-9AF4-5B19BD9A8BAC}" userId="S::Monica.Cowlishaw@cngc.com::6a558e23-4bbe-4dd8-8861-bc8e1c40174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41"/>
    <pageSetUpPr fitToPage="1"/>
  </sheetPr>
  <dimension ref="A1:P30"/>
  <sheetViews>
    <sheetView tabSelected="1" zoomScale="115" zoomScaleNormal="115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C26" sqref="C26:E26"/>
    </sheetView>
  </sheetViews>
  <sheetFormatPr defaultColWidth="18.33203125" defaultRowHeight="12.75" x14ac:dyDescent="0.2"/>
  <cols>
    <col min="1" max="1" width="45" style="9" bestFit="1" customWidth="1"/>
    <col min="2" max="2" width="18.6640625" style="9" bestFit="1" customWidth="1"/>
    <col min="3" max="3" width="20.1640625" style="10" bestFit="1" customWidth="1"/>
    <col min="4" max="4" width="20" style="9" customWidth="1"/>
    <col min="5" max="5" width="17.33203125" style="10" bestFit="1" customWidth="1"/>
    <col min="6" max="6" width="12.33203125" style="9" bestFit="1" customWidth="1"/>
    <col min="7" max="7" width="17" style="9" bestFit="1" customWidth="1"/>
    <col min="8" max="8" width="12.6640625" style="9" bestFit="1" customWidth="1"/>
    <col min="9" max="9" width="22" style="10" customWidth="1"/>
    <col min="10" max="10" width="10.33203125" style="9" bestFit="1" customWidth="1"/>
    <col min="11" max="11" width="16" style="9" bestFit="1" customWidth="1"/>
    <col min="12" max="12" width="10.6640625" style="10" bestFit="1" customWidth="1"/>
    <col min="13" max="13" width="5.83203125" style="9" customWidth="1"/>
    <col min="14" max="14" width="14.33203125" style="10" bestFit="1" customWidth="1"/>
    <col min="15" max="15" width="16" style="10" bestFit="1" customWidth="1"/>
    <col min="16" max="16" width="10.6640625" style="9" bestFit="1" customWidth="1"/>
    <col min="17" max="17" width="18.33203125" style="9" customWidth="1"/>
    <col min="18" max="16384" width="18.33203125" style="9"/>
  </cols>
  <sheetData>
    <row r="1" spans="1:16" x14ac:dyDescent="0.2">
      <c r="A1" s="226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</row>
    <row r="2" spans="1:16" x14ac:dyDescent="0.2">
      <c r="A2" s="226" t="s">
        <v>199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1:16" x14ac:dyDescent="0.2">
      <c r="A3" s="228" t="s">
        <v>30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1:16" ht="13.5" thickBot="1" x14ac:dyDescent="0.25"/>
    <row r="5" spans="1:16" s="15" customFormat="1" x14ac:dyDescent="0.2">
      <c r="A5" s="11"/>
      <c r="B5" s="11"/>
      <c r="C5" s="12" t="s">
        <v>4</v>
      </c>
      <c r="D5" s="12" t="s">
        <v>1</v>
      </c>
      <c r="E5" s="12" t="s">
        <v>2</v>
      </c>
      <c r="F5" s="12"/>
      <c r="G5" s="12" t="s">
        <v>3</v>
      </c>
      <c r="H5" s="12" t="s">
        <v>10</v>
      </c>
      <c r="I5" s="25"/>
      <c r="J5" s="26"/>
      <c r="K5" s="13" t="s">
        <v>22</v>
      </c>
      <c r="L5" s="13" t="s">
        <v>28</v>
      </c>
      <c r="M5" s="27"/>
      <c r="N5" s="12" t="s">
        <v>4</v>
      </c>
      <c r="O5" s="28" t="s">
        <v>20</v>
      </c>
      <c r="P5" s="14" t="s">
        <v>28</v>
      </c>
    </row>
    <row r="6" spans="1:16" s="15" customFormat="1" x14ac:dyDescent="0.2">
      <c r="A6" s="29"/>
      <c r="B6" s="29"/>
      <c r="C6" s="16" t="s">
        <v>5</v>
      </c>
      <c r="D6" s="16" t="s">
        <v>6</v>
      </c>
      <c r="E6" s="16" t="s">
        <v>7</v>
      </c>
      <c r="F6" s="16" t="s">
        <v>1</v>
      </c>
      <c r="G6" s="16" t="s">
        <v>8</v>
      </c>
      <c r="H6" s="16" t="s">
        <v>18</v>
      </c>
      <c r="I6" s="30" t="s">
        <v>10</v>
      </c>
      <c r="J6" s="31" t="s">
        <v>11</v>
      </c>
      <c r="K6" s="17" t="s">
        <v>21</v>
      </c>
      <c r="L6" s="17" t="s">
        <v>13</v>
      </c>
      <c r="M6" s="32"/>
      <c r="N6" s="16" t="s">
        <v>9</v>
      </c>
      <c r="O6" s="33" t="s">
        <v>21</v>
      </c>
      <c r="P6" s="18" t="s">
        <v>13</v>
      </c>
    </row>
    <row r="7" spans="1:16" s="15" customFormat="1" x14ac:dyDescent="0.2">
      <c r="A7" s="19" t="s">
        <v>1</v>
      </c>
      <c r="B7" s="19" t="s">
        <v>23</v>
      </c>
      <c r="C7" s="19" t="s">
        <v>12</v>
      </c>
      <c r="D7" s="19" t="s">
        <v>13</v>
      </c>
      <c r="E7" s="19" t="str">
        <f>"("&amp;TEXT(NEPercentage,"##%")&amp;" of cost)"</f>
        <v>(10% of cost)</v>
      </c>
      <c r="F7" s="19" t="s">
        <v>14</v>
      </c>
      <c r="G7" s="19" t="s">
        <v>12</v>
      </c>
      <c r="H7" s="19" t="s">
        <v>19</v>
      </c>
      <c r="I7" s="34" t="s">
        <v>15</v>
      </c>
      <c r="J7" s="35" t="s">
        <v>13</v>
      </c>
      <c r="K7" s="17" t="s">
        <v>19</v>
      </c>
      <c r="L7" s="17" t="s">
        <v>29</v>
      </c>
      <c r="M7" s="32"/>
      <c r="N7" s="19" t="s">
        <v>13</v>
      </c>
      <c r="O7" s="36" t="s">
        <v>19</v>
      </c>
      <c r="P7" s="18" t="s">
        <v>29</v>
      </c>
    </row>
    <row r="8" spans="1:16" x14ac:dyDescent="0.2">
      <c r="A8" s="37" t="s">
        <v>24</v>
      </c>
      <c r="B8" s="38">
        <v>23</v>
      </c>
      <c r="C8" s="78">
        <v>2044.51</v>
      </c>
      <c r="D8" s="60">
        <v>56168.06</v>
      </c>
      <c r="E8" s="40">
        <f>0.1*D8</f>
        <v>5616.8060000000005</v>
      </c>
      <c r="F8" s="101">
        <v>45</v>
      </c>
      <c r="G8" s="39">
        <f>PV($B$25,F8,-C8)</f>
        <v>39589.289326276012</v>
      </c>
      <c r="H8" s="60">
        <f>$B$26*(C8/$C$21)</f>
        <v>9424.1036387642234</v>
      </c>
      <c r="I8" s="77">
        <f>D8</f>
        <v>56168.06</v>
      </c>
      <c r="J8" s="41">
        <f>IF(ISERROR(I8/G8),0,I8/G8)</f>
        <v>1.4187690902226022</v>
      </c>
      <c r="K8" s="42">
        <f>(I8+H8)/G8</f>
        <v>1.6568158902319499</v>
      </c>
      <c r="L8" s="61">
        <f t="shared" ref="L8:L17" si="0">(VLOOKUP($F8,AC,6)*$C8)/($I8+$H8)</f>
        <v>1.3172088800180883</v>
      </c>
      <c r="M8" s="43"/>
      <c r="N8" s="44">
        <f>IF(ISERROR((D8-E8)/G8),0,(D8-E8)/G8)</f>
        <v>1.2768921812003422</v>
      </c>
      <c r="O8" s="45">
        <f>(D8-E8+H8)/G8</f>
        <v>1.5149389812096896</v>
      </c>
      <c r="P8" s="46">
        <f t="shared" ref="P8:P17" si="1">(VLOOKUP($F8,AC,4)*$C8)/($D8-$E8+$H8)</f>
        <v>1.2004733250190922</v>
      </c>
    </row>
    <row r="9" spans="1:16" x14ac:dyDescent="0.2">
      <c r="A9" s="37" t="s">
        <v>25</v>
      </c>
      <c r="B9" s="38">
        <v>13</v>
      </c>
      <c r="C9" s="78">
        <v>707.04</v>
      </c>
      <c r="D9" s="60">
        <v>45859.24</v>
      </c>
      <c r="E9" s="40">
        <f t="shared" ref="E9:E20" si="2">0.1*D9</f>
        <v>4585.924</v>
      </c>
      <c r="F9" s="101">
        <v>45</v>
      </c>
      <c r="G9" s="39">
        <f t="shared" ref="G9:G18" si="3">PV($B$25,F9,-C9)</f>
        <v>13690.914265643207</v>
      </c>
      <c r="H9" s="60">
        <f t="shared" ref="H9:H17" si="4">$B$26*(C9/$C$21)</f>
        <v>3259.0783301386914</v>
      </c>
      <c r="I9" s="77">
        <f t="shared" ref="I9:I20" si="5">D9</f>
        <v>45859.24</v>
      </c>
      <c r="J9" s="41">
        <f t="shared" ref="J9:J20" si="6">IF(ISERROR(I9/G9),0,I9/G9)</f>
        <v>3.3496112173517805</v>
      </c>
      <c r="K9" s="42">
        <f t="shared" ref="K9:K17" si="7">(I9+H9)/G9</f>
        <v>3.5876580173611279</v>
      </c>
      <c r="L9" s="61">
        <f t="shared" si="0"/>
        <v>0.60830006444533546</v>
      </c>
      <c r="M9" s="43"/>
      <c r="N9" s="44">
        <f t="shared" ref="N9:N20" si="8">IF(ISERROR((D9-E9)/G9),0,(D9-E9)/G9)</f>
        <v>3.0146500956166022</v>
      </c>
      <c r="O9" s="45">
        <f t="shared" ref="O9:O21" si="9">(D9-E9+H9)/G9</f>
        <v>3.2526968956259497</v>
      </c>
      <c r="P9" s="46">
        <f t="shared" si="1"/>
        <v>0.55911875416963863</v>
      </c>
    </row>
    <row r="10" spans="1:16" x14ac:dyDescent="0.2">
      <c r="A10" s="37" t="s">
        <v>16</v>
      </c>
      <c r="B10" s="38">
        <v>9</v>
      </c>
      <c r="C10" s="78">
        <v>743.99</v>
      </c>
      <c r="D10" s="60">
        <v>32813.89</v>
      </c>
      <c r="E10" s="40">
        <f t="shared" si="2"/>
        <v>3281.3890000000001</v>
      </c>
      <c r="F10" s="101">
        <v>45</v>
      </c>
      <c r="G10" s="39">
        <f t="shared" si="3"/>
        <v>14406.403180153726</v>
      </c>
      <c r="H10" s="60">
        <f t="shared" si="4"/>
        <v>3429.3981766800825</v>
      </c>
      <c r="I10" s="77">
        <f t="shared" si="5"/>
        <v>32813.89</v>
      </c>
      <c r="J10" s="41">
        <f t="shared" si="6"/>
        <v>2.2777295338509229</v>
      </c>
      <c r="K10" s="42">
        <f t="shared" si="7"/>
        <v>2.5157763338602708</v>
      </c>
      <c r="L10" s="61">
        <f t="shared" si="0"/>
        <v>0.86747481236533885</v>
      </c>
      <c r="M10" s="43"/>
      <c r="N10" s="44">
        <f t="shared" si="8"/>
        <v>2.0499565804658308</v>
      </c>
      <c r="O10" s="45">
        <f t="shared" si="9"/>
        <v>2.2880033804751783</v>
      </c>
      <c r="P10" s="46">
        <f t="shared" si="1"/>
        <v>0.79486064203110196</v>
      </c>
    </row>
    <row r="11" spans="1:16" x14ac:dyDescent="0.2">
      <c r="A11" s="37" t="s">
        <v>75</v>
      </c>
      <c r="B11" s="38">
        <v>9</v>
      </c>
      <c r="C11" s="78">
        <v>693</v>
      </c>
      <c r="D11" s="60">
        <v>5985.58</v>
      </c>
      <c r="E11" s="40">
        <f t="shared" si="2"/>
        <v>598.55799999999999</v>
      </c>
      <c r="F11" s="101">
        <v>13</v>
      </c>
      <c r="G11" s="39">
        <f t="shared" si="3"/>
        <v>6739.0180853050251</v>
      </c>
      <c r="H11" s="60">
        <f t="shared" si="4"/>
        <v>3194.36139792107</v>
      </c>
      <c r="I11" s="77">
        <f t="shared" si="5"/>
        <v>5985.58</v>
      </c>
      <c r="J11" s="41">
        <f t="shared" si="6"/>
        <v>0.88819764604164542</v>
      </c>
      <c r="K11" s="42">
        <f t="shared" si="7"/>
        <v>1.362207562246891</v>
      </c>
      <c r="L11" s="61">
        <f t="shared" si="0"/>
        <v>0.61632099321258071</v>
      </c>
      <c r="M11" s="43"/>
      <c r="N11" s="44">
        <f t="shared" si="8"/>
        <v>0.7993778814374809</v>
      </c>
      <c r="O11" s="45">
        <f t="shared" si="9"/>
        <v>1.2733877976427266</v>
      </c>
      <c r="P11" s="46">
        <f t="shared" si="1"/>
        <v>0.59937259081630745</v>
      </c>
    </row>
    <row r="12" spans="1:16" x14ac:dyDescent="0.2">
      <c r="A12" s="37" t="s">
        <v>27</v>
      </c>
      <c r="B12" s="38">
        <v>21</v>
      </c>
      <c r="C12" s="78">
        <v>273</v>
      </c>
      <c r="D12" s="85">
        <v>26624.47</v>
      </c>
      <c r="E12" s="40">
        <f t="shared" si="2"/>
        <v>2662.4470000000001</v>
      </c>
      <c r="F12" s="101">
        <v>13</v>
      </c>
      <c r="G12" s="39">
        <f t="shared" si="3"/>
        <v>2654.7647002716762</v>
      </c>
      <c r="H12" s="60">
        <f t="shared" si="4"/>
        <v>1258.3847931204216</v>
      </c>
      <c r="I12" s="77">
        <f t="shared" si="5"/>
        <v>26624.47</v>
      </c>
      <c r="J12" s="41">
        <f t="shared" si="6"/>
        <v>10.02893778016386</v>
      </c>
      <c r="K12" s="42">
        <f t="shared" si="7"/>
        <v>10.502947696369107</v>
      </c>
      <c r="L12" s="61">
        <f t="shared" si="0"/>
        <v>7.9935380237676448E-2</v>
      </c>
      <c r="M12" s="43"/>
      <c r="N12" s="44">
        <f t="shared" si="8"/>
        <v>9.0260440021474739</v>
      </c>
      <c r="O12" s="45">
        <f t="shared" si="9"/>
        <v>9.5000539183527195</v>
      </c>
      <c r="P12" s="46">
        <f t="shared" si="1"/>
        <v>8.0339938062092109E-2</v>
      </c>
    </row>
    <row r="13" spans="1:16" x14ac:dyDescent="0.2">
      <c r="A13" s="37" t="s">
        <v>109</v>
      </c>
      <c r="B13" s="38">
        <v>3</v>
      </c>
      <c r="C13" s="78">
        <v>19.2</v>
      </c>
      <c r="D13" s="85">
        <v>817.24</v>
      </c>
      <c r="E13" s="40">
        <f t="shared" si="2"/>
        <v>81.724000000000004</v>
      </c>
      <c r="F13" s="101">
        <v>18</v>
      </c>
      <c r="G13" s="39">
        <f t="shared" si="3"/>
        <v>234.77965002049356</v>
      </c>
      <c r="H13" s="60">
        <f t="shared" si="4"/>
        <v>88.501787648029648</v>
      </c>
      <c r="I13" s="77">
        <f>D13</f>
        <v>817.24</v>
      </c>
      <c r="J13" s="41">
        <f t="shared" si="6"/>
        <v>3.4808809022786447</v>
      </c>
      <c r="K13" s="42">
        <f t="shared" si="7"/>
        <v>3.8578377111004674</v>
      </c>
      <c r="L13" s="61">
        <f t="shared" si="0"/>
        <v>0.26284153303580648</v>
      </c>
      <c r="M13" s="43"/>
      <c r="N13" s="44">
        <f t="shared" si="8"/>
        <v>3.1327928120507798</v>
      </c>
      <c r="O13" s="45">
        <f t="shared" si="9"/>
        <v>3.5097496208726029</v>
      </c>
      <c r="P13" s="46">
        <f t="shared" si="1"/>
        <v>0.25680843687125471</v>
      </c>
    </row>
    <row r="14" spans="1:16" x14ac:dyDescent="0.2">
      <c r="A14" s="37" t="s">
        <v>80</v>
      </c>
      <c r="B14" s="38">
        <v>2</v>
      </c>
      <c r="C14" s="78">
        <v>108</v>
      </c>
      <c r="D14" s="85">
        <v>10398.799999999999</v>
      </c>
      <c r="E14" s="40">
        <f t="shared" si="2"/>
        <v>1039.8799999999999</v>
      </c>
      <c r="F14" s="101">
        <v>18</v>
      </c>
      <c r="G14" s="39">
        <f t="shared" si="3"/>
        <v>1320.6355313652764</v>
      </c>
      <c r="H14" s="60">
        <f t="shared" si="4"/>
        <v>497.82255552016676</v>
      </c>
      <c r="I14" s="77">
        <f t="shared" si="5"/>
        <v>10398.799999999999</v>
      </c>
      <c r="J14" s="41">
        <f t="shared" si="6"/>
        <v>7.8740877047656692</v>
      </c>
      <c r="K14" s="42">
        <f t="shared" si="7"/>
        <v>8.251044513587491</v>
      </c>
      <c r="L14" s="61">
        <f t="shared" si="0"/>
        <v>0.12289352899735043</v>
      </c>
      <c r="M14" s="43"/>
      <c r="N14" s="44">
        <f t="shared" si="8"/>
        <v>7.086678934289103</v>
      </c>
      <c r="O14" s="45">
        <f t="shared" si="9"/>
        <v>7.4636357431109248</v>
      </c>
      <c r="P14" s="46">
        <f t="shared" si="1"/>
        <v>0.12076330423516708</v>
      </c>
    </row>
    <row r="15" spans="1:16" x14ac:dyDescent="0.2">
      <c r="A15" s="37" t="s">
        <v>74</v>
      </c>
      <c r="B15" s="38">
        <v>2</v>
      </c>
      <c r="C15" s="78">
        <v>42</v>
      </c>
      <c r="D15" s="85">
        <v>889.9</v>
      </c>
      <c r="E15" s="40">
        <f t="shared" si="2"/>
        <v>88.990000000000009</v>
      </c>
      <c r="F15" s="101">
        <v>10</v>
      </c>
      <c r="G15" s="39">
        <f t="shared" si="3"/>
        <v>333.48094114557171</v>
      </c>
      <c r="H15" s="60">
        <f t="shared" si="4"/>
        <v>193.59766048006489</v>
      </c>
      <c r="I15" s="77">
        <f t="shared" si="5"/>
        <v>889.9</v>
      </c>
      <c r="J15" s="41">
        <f t="shared" si="6"/>
        <v>2.6685183175476861</v>
      </c>
      <c r="K15" s="42">
        <f t="shared" si="7"/>
        <v>3.249054224082613</v>
      </c>
      <c r="L15" s="61">
        <f t="shared" si="0"/>
        <v>0.23529857912848784</v>
      </c>
      <c r="M15" s="43"/>
      <c r="N15" s="44">
        <f t="shared" si="8"/>
        <v>2.4016664857929175</v>
      </c>
      <c r="O15" s="45">
        <f t="shared" si="9"/>
        <v>2.982202392327844</v>
      </c>
      <c r="P15" s="46">
        <f t="shared" si="1"/>
        <v>0.23304858193663541</v>
      </c>
    </row>
    <row r="16" spans="1:16" x14ac:dyDescent="0.2">
      <c r="A16" s="37" t="s">
        <v>26</v>
      </c>
      <c r="B16" s="38">
        <v>5</v>
      </c>
      <c r="C16" s="78">
        <v>105.81</v>
      </c>
      <c r="D16" s="85">
        <v>8709.44</v>
      </c>
      <c r="E16" s="40">
        <f t="shared" si="2"/>
        <v>870.94400000000007</v>
      </c>
      <c r="F16" s="101">
        <v>45</v>
      </c>
      <c r="G16" s="39">
        <f t="shared" si="3"/>
        <v>2048.873668318211</v>
      </c>
      <c r="H16" s="60">
        <f t="shared" si="4"/>
        <v>487.72782036656338</v>
      </c>
      <c r="I16" s="77">
        <f t="shared" si="5"/>
        <v>8709.44</v>
      </c>
      <c r="J16" s="41">
        <f t="shared" si="6"/>
        <v>4.2508428580416195</v>
      </c>
      <c r="K16" s="42">
        <f t="shared" si="7"/>
        <v>4.4888896580509661</v>
      </c>
      <c r="L16" s="61">
        <f t="shared" si="0"/>
        <v>0.48617203126266284</v>
      </c>
      <c r="M16" s="43"/>
      <c r="N16" s="44">
        <f t="shared" si="8"/>
        <v>3.825758572237457</v>
      </c>
      <c r="O16" s="45">
        <f t="shared" si="9"/>
        <v>4.0638053722468044</v>
      </c>
      <c r="P16" s="46">
        <f t="shared" si="1"/>
        <v>0.4475223760453706</v>
      </c>
    </row>
    <row r="17" spans="1:16" x14ac:dyDescent="0.2">
      <c r="A17" s="37" t="s">
        <v>76</v>
      </c>
      <c r="B17" s="38">
        <v>4</v>
      </c>
      <c r="C17" s="78">
        <v>444</v>
      </c>
      <c r="D17" s="85">
        <v>18194.38</v>
      </c>
      <c r="E17" s="40">
        <f t="shared" si="2"/>
        <v>1819.4380000000001</v>
      </c>
      <c r="F17" s="101">
        <v>18</v>
      </c>
      <c r="G17" s="39">
        <f t="shared" si="3"/>
        <v>5429.2794067239147</v>
      </c>
      <c r="H17" s="60">
        <f t="shared" si="4"/>
        <v>2046.6038393606857</v>
      </c>
      <c r="I17" s="77">
        <f t="shared" si="5"/>
        <v>18194.38</v>
      </c>
      <c r="J17" s="41">
        <f t="shared" si="6"/>
        <v>3.3511592675571444</v>
      </c>
      <c r="K17" s="42">
        <f t="shared" si="7"/>
        <v>3.7281160763789671</v>
      </c>
      <c r="L17" s="61">
        <f t="shared" si="0"/>
        <v>0.27198723360938593</v>
      </c>
      <c r="M17" s="43"/>
      <c r="N17" s="44">
        <f t="shared" si="8"/>
        <v>3.01604334080143</v>
      </c>
      <c r="O17" s="45">
        <f t="shared" si="9"/>
        <v>3.3930001496232522</v>
      </c>
      <c r="P17" s="46">
        <f t="shared" si="1"/>
        <v>0.26564493787182802</v>
      </c>
    </row>
    <row r="18" spans="1:16" x14ac:dyDescent="0.2">
      <c r="A18" s="37" t="s">
        <v>77</v>
      </c>
      <c r="B18" s="38">
        <v>0</v>
      </c>
      <c r="C18" s="78">
        <v>0</v>
      </c>
      <c r="D18" s="85">
        <v>0</v>
      </c>
      <c r="E18" s="40">
        <f t="shared" si="2"/>
        <v>0</v>
      </c>
      <c r="F18" s="101">
        <v>20</v>
      </c>
      <c r="G18" s="39">
        <f t="shared" si="3"/>
        <v>0</v>
      </c>
      <c r="H18" s="60"/>
      <c r="I18" s="77">
        <f t="shared" si="5"/>
        <v>0</v>
      </c>
      <c r="J18" s="41"/>
      <c r="K18" s="42"/>
      <c r="L18" s="61"/>
      <c r="M18" s="43"/>
      <c r="N18" s="44">
        <f t="shared" si="8"/>
        <v>0</v>
      </c>
      <c r="O18" s="45"/>
      <c r="P18" s="46"/>
    </row>
    <row r="19" spans="1:16" x14ac:dyDescent="0.2">
      <c r="A19" s="37" t="s">
        <v>79</v>
      </c>
      <c r="B19" s="38">
        <v>0</v>
      </c>
      <c r="C19" s="78">
        <v>0</v>
      </c>
      <c r="D19" s="85">
        <v>0</v>
      </c>
      <c r="E19" s="40">
        <f t="shared" si="2"/>
        <v>0</v>
      </c>
      <c r="F19" s="101">
        <v>10</v>
      </c>
      <c r="G19" s="39">
        <f>PV($B$25,F19,-C19)</f>
        <v>0</v>
      </c>
      <c r="H19" s="60">
        <f>$B$26*(C19/$C$21)</f>
        <v>0</v>
      </c>
      <c r="I19" s="77">
        <f t="shared" si="5"/>
        <v>0</v>
      </c>
      <c r="J19" s="41">
        <f t="shared" si="6"/>
        <v>0</v>
      </c>
      <c r="K19" s="42"/>
      <c r="L19" s="61"/>
      <c r="M19" s="43"/>
      <c r="N19" s="44">
        <f t="shared" si="8"/>
        <v>0</v>
      </c>
      <c r="O19" s="45"/>
      <c r="P19" s="46"/>
    </row>
    <row r="20" spans="1:16" ht="13.5" thickBot="1" x14ac:dyDescent="0.25">
      <c r="A20" s="37" t="s">
        <v>78</v>
      </c>
      <c r="B20" s="38">
        <v>0</v>
      </c>
      <c r="C20" s="78">
        <v>0</v>
      </c>
      <c r="D20" s="85">
        <v>0</v>
      </c>
      <c r="E20" s="40">
        <f t="shared" si="2"/>
        <v>0</v>
      </c>
      <c r="F20" s="101">
        <v>10</v>
      </c>
      <c r="G20" s="39">
        <f>PV($B$25,F20,-C20)</f>
        <v>0</v>
      </c>
      <c r="H20" s="60">
        <f>$B$26*(C20/$C$21)</f>
        <v>0</v>
      </c>
      <c r="I20" s="77">
        <f t="shared" si="5"/>
        <v>0</v>
      </c>
      <c r="J20" s="41">
        <f t="shared" si="6"/>
        <v>0</v>
      </c>
      <c r="K20" s="42"/>
      <c r="L20" s="61"/>
      <c r="M20" s="43"/>
      <c r="N20" s="44">
        <f t="shared" si="8"/>
        <v>0</v>
      </c>
      <c r="O20" s="45"/>
      <c r="P20" s="46"/>
    </row>
    <row r="21" spans="1:16" s="15" customFormat="1" ht="13.5" thickBot="1" x14ac:dyDescent="0.25">
      <c r="A21" s="47" t="s">
        <v>31</v>
      </c>
      <c r="B21" s="48">
        <f>SUM(B8:B20)</f>
        <v>91</v>
      </c>
      <c r="C21" s="84">
        <f>SUM(C8:C20)</f>
        <v>5180.55</v>
      </c>
      <c r="D21" s="179">
        <f>SUM(D8:D20)+SUM(B27+B28+B29)</f>
        <v>247256.83999999997</v>
      </c>
      <c r="E21" s="49">
        <f>SUM(E8:E20)</f>
        <v>20646.099999999999</v>
      </c>
      <c r="F21" s="20">
        <f>SUMPRODUCT(C8:C20,F8:F20)/SUM(C8:C12)</f>
        <v>41.537305504377414</v>
      </c>
      <c r="G21" s="50">
        <f>SUM(G8:G20)</f>
        <v>86447.43875522312</v>
      </c>
      <c r="H21" s="176">
        <f>B26+B27+B28+B29</f>
        <v>64675.42</v>
      </c>
      <c r="I21" s="180">
        <f>SUM(I8:I20)+SUM(B27:B29)-B30</f>
        <v>234667.45999999996</v>
      </c>
      <c r="J21" s="51">
        <f>I21/G21</f>
        <v>2.7145681049552373</v>
      </c>
      <c r="K21" s="52">
        <f>(I21+H21)/G21</f>
        <v>3.4627154292863738</v>
      </c>
      <c r="L21" s="62">
        <f>(VLOOKUP($F21,AC,6)*$C21)/($I21+$H21)</f>
        <v>0.64808294042456527</v>
      </c>
      <c r="M21" s="53"/>
      <c r="N21" s="54">
        <f>(D21-E21)/G21</f>
        <v>2.6213702020906688</v>
      </c>
      <c r="O21" s="102">
        <f t="shared" si="9"/>
        <v>3.3695175264218058</v>
      </c>
      <c r="P21" s="55">
        <f>(VLOOKUP($F21,AC,4)*$C21)/($D21-$E21+$H21)</f>
        <v>0.55500695566162439</v>
      </c>
    </row>
    <row r="22" spans="1:16" x14ac:dyDescent="0.2">
      <c r="C22" s="56"/>
      <c r="D22" s="10"/>
      <c r="E22" s="21"/>
      <c r="F22" s="22"/>
      <c r="G22" s="22"/>
      <c r="H22" s="22"/>
      <c r="I22" s="21"/>
      <c r="J22" s="57"/>
      <c r="K22" s="58"/>
      <c r="L22" s="59"/>
      <c r="M22" s="58"/>
    </row>
    <row r="23" spans="1:16" x14ac:dyDescent="0.2">
      <c r="A23" s="23" t="s">
        <v>107</v>
      </c>
      <c r="B23" s="168">
        <v>4.4299999999999999E-2</v>
      </c>
      <c r="C23" s="9"/>
    </row>
    <row r="24" spans="1:16" x14ac:dyDescent="0.2">
      <c r="A24" s="23" t="s">
        <v>17</v>
      </c>
      <c r="B24" s="168">
        <v>0.02</v>
      </c>
      <c r="C24" s="9"/>
      <c r="E24" s="24"/>
    </row>
    <row r="25" spans="1:16" x14ac:dyDescent="0.2">
      <c r="A25" s="23" t="s">
        <v>108</v>
      </c>
      <c r="B25" s="168">
        <v>4.4299999999999999E-2</v>
      </c>
      <c r="C25" s="9"/>
      <c r="E25" s="24"/>
    </row>
    <row r="26" spans="1:16" x14ac:dyDescent="0.2">
      <c r="A26" s="9" t="s">
        <v>51</v>
      </c>
      <c r="B26" s="175">
        <v>23879.58</v>
      </c>
      <c r="C26" s="229"/>
      <c r="D26" s="230"/>
      <c r="E26" s="230"/>
      <c r="F26" s="164"/>
      <c r="G26" s="164"/>
      <c r="H26" s="164"/>
      <c r="I26" s="165"/>
      <c r="J26" s="164"/>
    </row>
    <row r="27" spans="1:16" x14ac:dyDescent="0.2">
      <c r="A27" s="9" t="s">
        <v>81</v>
      </c>
      <c r="B27" s="79">
        <v>2320.21</v>
      </c>
      <c r="C27" s="165"/>
      <c r="D27" s="164"/>
      <c r="E27" s="165"/>
      <c r="F27" s="164"/>
      <c r="G27" s="166"/>
      <c r="H27" s="166"/>
      <c r="I27" s="167"/>
      <c r="J27" s="164"/>
    </row>
    <row r="28" spans="1:16" x14ac:dyDescent="0.2">
      <c r="A28" s="9" t="s">
        <v>82</v>
      </c>
      <c r="B28" s="80">
        <v>24005.3</v>
      </c>
      <c r="C28" s="165"/>
      <c r="D28" s="164"/>
      <c r="E28" s="165"/>
      <c r="F28" s="164"/>
      <c r="G28" s="164"/>
      <c r="H28" s="164"/>
      <c r="I28" s="165"/>
      <c r="J28" s="164"/>
    </row>
    <row r="29" spans="1:16" x14ac:dyDescent="0.2">
      <c r="A29" s="9" t="s">
        <v>83</v>
      </c>
      <c r="B29" s="80">
        <v>14470.33</v>
      </c>
      <c r="C29" s="165"/>
      <c r="D29" s="164"/>
      <c r="E29" s="165"/>
      <c r="F29" s="164"/>
      <c r="G29" s="164"/>
      <c r="H29" s="164"/>
      <c r="I29" s="165"/>
      <c r="J29" s="164"/>
    </row>
    <row r="30" spans="1:16" x14ac:dyDescent="0.2">
      <c r="A30" s="9" t="s">
        <v>84</v>
      </c>
      <c r="B30" s="81">
        <f>+'2018 WA LIW ACTUALS'!BS22</f>
        <v>12589.379999999997</v>
      </c>
    </row>
  </sheetData>
  <mergeCells count="4">
    <mergeCell ref="A1:P1"/>
    <mergeCell ref="A2:P2"/>
    <mergeCell ref="A3:P3"/>
    <mergeCell ref="C26:E26"/>
  </mergeCells>
  <phoneticPr fontId="0" type="noConversion"/>
  <pageMargins left="0.25" right="0.27" top="0.73" bottom="0.72" header="0.5" footer="0.5"/>
  <pageSetup paperSize="5" scale="72" fitToHeight="2" orientation="landscape" horizontalDpi="4294967292" verticalDpi="4294967292" r:id="rId1"/>
  <headerFooter alignWithMargins="0"/>
  <ignoredErrors>
    <ignoredError sqref="I21" formulaRange="1"/>
    <ignoredError sqref="F21 D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45"/>
  <sheetViews>
    <sheetView zoomScale="80" zoomScaleNormal="80" workbookViewId="0">
      <selection activeCell="L44" sqref="L44"/>
    </sheetView>
  </sheetViews>
  <sheetFormatPr defaultColWidth="8.83203125" defaultRowHeight="12.75" x14ac:dyDescent="0.2"/>
  <cols>
    <col min="1" max="1" width="23.5" style="86" customWidth="1"/>
    <col min="2" max="2" width="10" style="86" bestFit="1" customWidth="1"/>
    <col min="3" max="3" width="19" style="86" bestFit="1" customWidth="1"/>
    <col min="4" max="4" width="10.33203125" style="86" bestFit="1" customWidth="1"/>
    <col min="5" max="5" width="14.83203125" style="86" bestFit="1" customWidth="1"/>
    <col min="6" max="6" width="16" style="86" bestFit="1" customWidth="1"/>
    <col min="7" max="7" width="10.6640625" style="86" bestFit="1" customWidth="1"/>
    <col min="8" max="9" width="14.33203125" style="86" bestFit="1" customWidth="1"/>
    <col min="10" max="10" width="14.6640625" style="86" customWidth="1"/>
    <col min="11" max="11" width="13.1640625" style="86" bestFit="1" customWidth="1"/>
    <col min="12" max="12" width="14.33203125" style="86" bestFit="1" customWidth="1"/>
    <col min="13" max="13" width="17.33203125" style="86" bestFit="1" customWidth="1"/>
    <col min="14" max="14" width="12.6640625" style="86" bestFit="1" customWidth="1"/>
    <col min="15" max="15" width="13.1640625" style="86" customWidth="1"/>
    <col min="16" max="16" width="16.1640625" style="86" bestFit="1" customWidth="1"/>
    <col min="17" max="17" width="13.5" style="86" bestFit="1" customWidth="1"/>
    <col min="18" max="18" width="14.83203125" style="86" bestFit="1" customWidth="1"/>
    <col min="19" max="19" width="15.1640625" style="86" bestFit="1" customWidth="1"/>
    <col min="20" max="20" width="16" style="86" bestFit="1" customWidth="1"/>
    <col min="21" max="21" width="11.1640625" style="86" bestFit="1" customWidth="1"/>
    <col min="22" max="22" width="10.83203125" style="86" bestFit="1" customWidth="1"/>
    <col min="23" max="24" width="13.1640625" style="86" bestFit="1" customWidth="1"/>
    <col min="25" max="25" width="16.1640625" style="87" bestFit="1" customWidth="1"/>
    <col min="26" max="26" width="15.6640625" style="87" bestFit="1" customWidth="1"/>
    <col min="27" max="27" width="14.83203125" style="86" bestFit="1" customWidth="1"/>
    <col min="28" max="28" width="16.6640625" style="86" bestFit="1" customWidth="1"/>
    <col min="29" max="29" width="15.6640625" style="86" bestFit="1" customWidth="1"/>
    <col min="30" max="30" width="13.6640625" style="86" bestFit="1" customWidth="1"/>
    <col min="31" max="31" width="16.6640625" style="86" bestFit="1" customWidth="1"/>
    <col min="32" max="32" width="17.5" style="86" bestFit="1" customWidth="1"/>
    <col min="33" max="33" width="17.33203125" style="86" bestFit="1" customWidth="1"/>
    <col min="34" max="34" width="14" style="86" bestFit="1" customWidth="1"/>
    <col min="35" max="35" width="16.1640625" style="86" bestFit="1" customWidth="1"/>
    <col min="36" max="36" width="16.6640625" style="86" bestFit="1" customWidth="1"/>
    <col min="37" max="37" width="14" style="86" bestFit="1" customWidth="1"/>
    <col min="38" max="38" width="15" style="86" bestFit="1" customWidth="1"/>
    <col min="39" max="39" width="16.1640625" style="86" bestFit="1" customWidth="1"/>
    <col min="40" max="40" width="14.5" style="86" bestFit="1" customWidth="1"/>
    <col min="41" max="41" width="16" style="86" bestFit="1" customWidth="1"/>
    <col min="42" max="42" width="17.5" style="86" bestFit="1" customWidth="1"/>
    <col min="43" max="43" width="10.6640625" style="86" bestFit="1" customWidth="1"/>
    <col min="44" max="44" width="13.5" style="86" bestFit="1" customWidth="1"/>
    <col min="45" max="45" width="14.83203125" style="86" bestFit="1" customWidth="1"/>
    <col min="46" max="46" width="18.1640625" style="86" bestFit="1" customWidth="1"/>
    <col min="47" max="47" width="15.6640625" style="86" bestFit="1" customWidth="1"/>
    <col min="48" max="48" width="17" style="86" bestFit="1" customWidth="1"/>
    <col min="49" max="49" width="10.6640625" style="86" bestFit="1" customWidth="1"/>
    <col min="50" max="51" width="10.33203125" style="86" bestFit="1" customWidth="1"/>
    <col min="52" max="52" width="10.6640625" style="86" bestFit="1" customWidth="1"/>
    <col min="53" max="53" width="12" style="86" bestFit="1" customWidth="1"/>
    <col min="54" max="54" width="13.1640625" style="86" bestFit="1" customWidth="1"/>
    <col min="55" max="55" width="10.6640625" style="86" bestFit="1" customWidth="1"/>
    <col min="56" max="57" width="9" style="86" bestFit="1" customWidth="1"/>
    <col min="58" max="58" width="10.6640625" style="86" bestFit="1" customWidth="1"/>
    <col min="59" max="59" width="13.1640625" style="86" bestFit="1" customWidth="1"/>
    <col min="60" max="60" width="15" style="207" customWidth="1"/>
    <col min="61" max="61" width="10.6640625" style="86" bestFit="1" customWidth="1"/>
    <col min="62" max="63" width="14.33203125" style="86" bestFit="1" customWidth="1"/>
    <col min="64" max="65" width="16.6640625" style="86" bestFit="1" customWidth="1"/>
    <col min="66" max="66" width="14.33203125" style="86" bestFit="1" customWidth="1"/>
    <col min="67" max="67" width="15.83203125" style="86" bestFit="1" customWidth="1"/>
    <col min="68" max="68" width="26" style="86" bestFit="1" customWidth="1"/>
    <col min="69" max="69" width="8.1640625" style="86" bestFit="1" customWidth="1"/>
    <col min="70" max="70" width="14.33203125" style="86" bestFit="1" customWidth="1"/>
    <col min="71" max="71" width="31" style="86" bestFit="1" customWidth="1"/>
    <col min="72" max="72" width="12" style="86" bestFit="1" customWidth="1"/>
    <col min="73" max="16384" width="8.83203125" style="86"/>
  </cols>
  <sheetData>
    <row r="1" spans="1:72" x14ac:dyDescent="0.2">
      <c r="A1" s="63" t="s">
        <v>55</v>
      </c>
      <c r="B1" s="63"/>
      <c r="C1" s="63"/>
      <c r="D1" s="65"/>
      <c r="E1" s="66"/>
      <c r="F1" s="67"/>
      <c r="G1" s="65"/>
      <c r="H1" s="65"/>
      <c r="I1" s="173" t="s">
        <v>56</v>
      </c>
      <c r="J1" s="68" t="s">
        <v>57</v>
      </c>
      <c r="K1" s="67"/>
      <c r="L1" s="67"/>
      <c r="M1" s="67"/>
      <c r="N1" s="67"/>
      <c r="O1" s="174" t="s">
        <v>201</v>
      </c>
      <c r="P1" s="169" t="s">
        <v>207</v>
      </c>
      <c r="Q1" s="65"/>
      <c r="R1" s="67"/>
      <c r="S1" s="174" t="s">
        <v>204</v>
      </c>
      <c r="T1" s="170" t="s">
        <v>210</v>
      </c>
      <c r="U1" s="100"/>
      <c r="V1" s="100"/>
      <c r="W1" s="100"/>
      <c r="X1" s="100"/>
      <c r="Y1" s="83"/>
      <c r="Z1" s="83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9"/>
    </row>
    <row r="2" spans="1:72" x14ac:dyDescent="0.2">
      <c r="A2" s="63" t="s">
        <v>58</v>
      </c>
      <c r="B2" s="63"/>
      <c r="C2" s="63"/>
      <c r="D2" s="65"/>
      <c r="E2" s="66"/>
      <c r="F2" s="67"/>
      <c r="G2" s="65"/>
      <c r="H2" s="65"/>
      <c r="I2" s="173" t="s">
        <v>59</v>
      </c>
      <c r="J2" s="68" t="s">
        <v>60</v>
      </c>
      <c r="K2" s="67"/>
      <c r="L2" s="67"/>
      <c r="M2" s="67"/>
      <c r="N2" s="67"/>
      <c r="O2" s="173" t="s">
        <v>202</v>
      </c>
      <c r="P2" s="169" t="s">
        <v>208</v>
      </c>
      <c r="Q2" s="65"/>
      <c r="R2" s="67"/>
      <c r="S2" s="174" t="s">
        <v>205</v>
      </c>
      <c r="T2" s="169" t="s">
        <v>211</v>
      </c>
      <c r="U2" s="67"/>
      <c r="V2" s="67"/>
      <c r="W2" s="67"/>
      <c r="X2" s="67"/>
      <c r="Y2" s="83"/>
      <c r="Z2" s="83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9"/>
    </row>
    <row r="3" spans="1:72" x14ac:dyDescent="0.2">
      <c r="A3" s="63" t="s">
        <v>200</v>
      </c>
      <c r="B3" s="63"/>
      <c r="C3" s="63"/>
      <c r="D3" s="65"/>
      <c r="E3" s="66"/>
      <c r="F3" s="67"/>
      <c r="G3" s="65"/>
      <c r="H3" s="65"/>
      <c r="I3" s="173" t="s">
        <v>61</v>
      </c>
      <c r="J3" s="68" t="s">
        <v>62</v>
      </c>
      <c r="K3" s="67"/>
      <c r="L3" s="67"/>
      <c r="M3" s="67"/>
      <c r="N3" s="67"/>
      <c r="O3" s="173" t="s">
        <v>203</v>
      </c>
      <c r="P3" s="169" t="s">
        <v>209</v>
      </c>
      <c r="Q3" s="65"/>
      <c r="R3" s="67"/>
      <c r="S3" s="174" t="s">
        <v>206</v>
      </c>
      <c r="T3" s="170" t="s">
        <v>212</v>
      </c>
      <c r="U3" s="67"/>
      <c r="V3" s="67"/>
      <c r="W3" s="67"/>
      <c r="X3" s="67"/>
      <c r="Y3" s="83"/>
      <c r="Z3" s="83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9"/>
    </row>
    <row r="4" spans="1:72" x14ac:dyDescent="0.2">
      <c r="A4" s="63"/>
      <c r="B4" s="63"/>
      <c r="C4" s="63"/>
      <c r="D4" s="65"/>
      <c r="E4" s="66"/>
      <c r="F4" s="67"/>
      <c r="G4" s="65"/>
      <c r="H4" s="65"/>
      <c r="I4" s="67"/>
      <c r="J4" s="67"/>
      <c r="K4" s="67"/>
      <c r="L4" s="67"/>
      <c r="M4" s="67"/>
      <c r="N4" s="67"/>
      <c r="O4" s="67"/>
      <c r="P4" s="65"/>
      <c r="Q4" s="65"/>
      <c r="R4" s="67"/>
      <c r="S4" s="70"/>
      <c r="T4" s="70"/>
      <c r="U4" s="99"/>
      <c r="V4" s="67"/>
      <c r="W4" s="67"/>
      <c r="X4" s="67"/>
      <c r="Y4" s="83"/>
      <c r="Z4" s="83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9"/>
    </row>
    <row r="5" spans="1:72" ht="38.25" x14ac:dyDescent="0.2">
      <c r="A5" s="98"/>
      <c r="B5" s="97" t="s">
        <v>63</v>
      </c>
      <c r="C5" s="206" t="s">
        <v>214</v>
      </c>
      <c r="D5" s="96" t="s">
        <v>64</v>
      </c>
      <c r="E5" s="151" t="s">
        <v>151</v>
      </c>
      <c r="F5" s="152" t="s">
        <v>152</v>
      </c>
      <c r="G5" s="91" t="s">
        <v>65</v>
      </c>
      <c r="H5" s="90" t="s">
        <v>153</v>
      </c>
      <c r="I5" s="89" t="s">
        <v>154</v>
      </c>
      <c r="J5" s="88" t="s">
        <v>67</v>
      </c>
      <c r="K5" s="90" t="s">
        <v>155</v>
      </c>
      <c r="L5" s="89" t="s">
        <v>156</v>
      </c>
      <c r="M5" s="88" t="s">
        <v>66</v>
      </c>
      <c r="N5" s="90" t="s">
        <v>157</v>
      </c>
      <c r="O5" s="89" t="s">
        <v>158</v>
      </c>
      <c r="P5" s="88" t="s">
        <v>159</v>
      </c>
      <c r="Q5" s="90" t="s">
        <v>160</v>
      </c>
      <c r="R5" s="89" t="s">
        <v>161</v>
      </c>
      <c r="S5" s="88" t="s">
        <v>89</v>
      </c>
      <c r="T5" s="90" t="s">
        <v>162</v>
      </c>
      <c r="U5" s="89" t="s">
        <v>163</v>
      </c>
      <c r="V5" s="88" t="s">
        <v>90</v>
      </c>
      <c r="W5" s="90" t="s">
        <v>164</v>
      </c>
      <c r="X5" s="89" t="s">
        <v>165</v>
      </c>
      <c r="Y5" s="88" t="s">
        <v>166</v>
      </c>
      <c r="Z5" s="90" t="s">
        <v>167</v>
      </c>
      <c r="AA5" s="89" t="s">
        <v>91</v>
      </c>
      <c r="AB5" s="88" t="s">
        <v>92</v>
      </c>
      <c r="AC5" s="90" t="s">
        <v>168</v>
      </c>
      <c r="AD5" s="89" t="s">
        <v>169</v>
      </c>
      <c r="AE5" s="88" t="s">
        <v>170</v>
      </c>
      <c r="AF5" s="90" t="s">
        <v>171</v>
      </c>
      <c r="AG5" s="89" t="s">
        <v>93</v>
      </c>
      <c r="AH5" s="88" t="s">
        <v>94</v>
      </c>
      <c r="AI5" s="90" t="s">
        <v>172</v>
      </c>
      <c r="AJ5" s="89" t="s">
        <v>95</v>
      </c>
      <c r="AK5" s="88" t="s">
        <v>96</v>
      </c>
      <c r="AL5" s="90" t="s">
        <v>173</v>
      </c>
      <c r="AM5" s="89" t="s">
        <v>174</v>
      </c>
      <c r="AN5" s="88" t="s">
        <v>68</v>
      </c>
      <c r="AO5" s="90" t="s">
        <v>175</v>
      </c>
      <c r="AP5" s="89" t="s">
        <v>176</v>
      </c>
      <c r="AQ5" s="88" t="s">
        <v>177</v>
      </c>
      <c r="AR5" s="90" t="s">
        <v>178</v>
      </c>
      <c r="AS5" s="89" t="s">
        <v>179</v>
      </c>
      <c r="AT5" s="88" t="s">
        <v>180</v>
      </c>
      <c r="AU5" s="90" t="s">
        <v>181</v>
      </c>
      <c r="AV5" s="89" t="s">
        <v>182</v>
      </c>
      <c r="AW5" s="88" t="s">
        <v>97</v>
      </c>
      <c r="AX5" s="90" t="s">
        <v>183</v>
      </c>
      <c r="AY5" s="89" t="s">
        <v>184</v>
      </c>
      <c r="AZ5" s="88" t="s">
        <v>98</v>
      </c>
      <c r="BA5" s="90" t="s">
        <v>185</v>
      </c>
      <c r="BB5" s="89" t="s">
        <v>186</v>
      </c>
      <c r="BC5" s="88" t="s">
        <v>99</v>
      </c>
      <c r="BD5" s="90" t="s">
        <v>187</v>
      </c>
      <c r="BE5" s="89" t="s">
        <v>188</v>
      </c>
      <c r="BF5" s="88" t="s">
        <v>189</v>
      </c>
      <c r="BG5" s="153" t="s">
        <v>190</v>
      </c>
      <c r="BH5" s="190" t="s">
        <v>69</v>
      </c>
      <c r="BI5" s="154" t="s">
        <v>70</v>
      </c>
      <c r="BJ5" s="90" t="s">
        <v>191</v>
      </c>
      <c r="BK5" s="90" t="s">
        <v>192</v>
      </c>
      <c r="BL5" s="155" t="s">
        <v>193</v>
      </c>
      <c r="BM5" s="156" t="s">
        <v>194</v>
      </c>
      <c r="BN5" s="89" t="s">
        <v>195</v>
      </c>
      <c r="BO5" s="157" t="s">
        <v>196</v>
      </c>
      <c r="BP5" s="154"/>
      <c r="BQ5" s="154" t="s">
        <v>197</v>
      </c>
      <c r="BR5" s="154" t="s">
        <v>198</v>
      </c>
      <c r="BS5" s="116"/>
      <c r="BT5" s="117"/>
    </row>
    <row r="6" spans="1:72" x14ac:dyDescent="0.2">
      <c r="A6" s="71" t="s">
        <v>110</v>
      </c>
      <c r="B6" s="171" t="s">
        <v>87</v>
      </c>
      <c r="C6" s="203" t="s">
        <v>215</v>
      </c>
      <c r="D6" s="103">
        <f t="shared" ref="D6:D33" si="0">SUM(G6,J6,M6,P6,S6,V6,Y6,AB6,AE6,AH6,AK6,AN6,AQ6,AT6,AW6,AZ6,BC6,BF6)</f>
        <v>216.43</v>
      </c>
      <c r="E6" s="104">
        <v>819.42</v>
      </c>
      <c r="F6" s="104">
        <v>3657.71</v>
      </c>
      <c r="G6" s="105">
        <v>101.29</v>
      </c>
      <c r="H6" s="106">
        <v>931.51</v>
      </c>
      <c r="I6" s="106">
        <v>2985.25</v>
      </c>
      <c r="J6" s="107">
        <v>115.14</v>
      </c>
      <c r="K6" s="106"/>
      <c r="L6" s="106"/>
      <c r="M6" s="107"/>
      <c r="N6" s="106"/>
      <c r="O6" s="106"/>
      <c r="P6" s="107"/>
      <c r="Q6" s="106"/>
      <c r="R6" s="106"/>
      <c r="S6" s="107"/>
      <c r="T6" s="93"/>
      <c r="U6" s="92"/>
      <c r="V6" s="94"/>
      <c r="W6" s="93"/>
      <c r="X6" s="92"/>
      <c r="Y6" s="108"/>
      <c r="Z6" s="109"/>
      <c r="AA6" s="110"/>
      <c r="AB6" s="108"/>
      <c r="AC6" s="109"/>
      <c r="AD6" s="110"/>
      <c r="AE6" s="108"/>
      <c r="AF6" s="109"/>
      <c r="AG6" s="110"/>
      <c r="AH6" s="108"/>
      <c r="AI6" s="109"/>
      <c r="AJ6" s="110"/>
      <c r="AK6" s="108"/>
      <c r="AL6" s="93"/>
      <c r="AM6" s="92"/>
      <c r="AN6" s="94"/>
      <c r="AO6" s="93"/>
      <c r="AP6" s="92"/>
      <c r="AQ6" s="94"/>
      <c r="AR6" s="93"/>
      <c r="AS6" s="92"/>
      <c r="AT6" s="94"/>
      <c r="AU6" s="93"/>
      <c r="AV6" s="92"/>
      <c r="AW6" s="94"/>
      <c r="AX6" s="95"/>
      <c r="AY6" s="92"/>
      <c r="AZ6" s="94"/>
      <c r="BA6" s="93"/>
      <c r="BB6" s="92"/>
      <c r="BC6" s="94"/>
      <c r="BD6" s="93"/>
      <c r="BE6" s="92"/>
      <c r="BF6" s="94"/>
      <c r="BG6" s="111"/>
      <c r="BH6" s="181">
        <v>2</v>
      </c>
      <c r="BI6" s="112">
        <f t="shared" ref="BI6:BI21" si="1">G6+J6+M6+S6+P6+V6+Y6+AN6+AQ6+AT6+AW6+AZ6+BC6+BF6</f>
        <v>216.43</v>
      </c>
      <c r="BJ6" s="113">
        <v>550</v>
      </c>
      <c r="BK6" s="113">
        <v>300</v>
      </c>
      <c r="BL6" s="114">
        <f t="shared" ref="BL6:BL26" si="2">E6+H6+K6+Q6+N6+T6+W6+AL6+AO6+AR6+AU6+AX6+BA6+BD6+BJ6+BK6</f>
        <v>2600.9299999999998</v>
      </c>
      <c r="BM6" s="114">
        <f>F6+I6+L6+R6+O6+U6+X6+AM6+AP6+AS6+AV6+AY6+BB6+BE6</f>
        <v>6642.96</v>
      </c>
      <c r="BN6" s="195">
        <f>BL6+BM6</f>
        <v>9243.89</v>
      </c>
      <c r="BO6" s="220"/>
      <c r="BP6" s="187" t="str">
        <f t="shared" ref="BP6:BP33" si="3">A6</f>
        <v>17-28</v>
      </c>
      <c r="BQ6" s="221"/>
      <c r="BR6" s="115"/>
      <c r="BS6" s="116"/>
      <c r="BT6" s="117"/>
    </row>
    <row r="7" spans="1:72" x14ac:dyDescent="0.2">
      <c r="A7" s="71" t="s">
        <v>111</v>
      </c>
      <c r="B7" s="171" t="s">
        <v>71</v>
      </c>
      <c r="C7" s="204" t="s">
        <v>216</v>
      </c>
      <c r="D7" s="103">
        <f t="shared" si="0"/>
        <v>161.12</v>
      </c>
      <c r="E7" s="118"/>
      <c r="F7" s="119"/>
      <c r="G7" s="120"/>
      <c r="H7" s="104">
        <v>766.28</v>
      </c>
      <c r="I7" s="104">
        <v>2160.6799999999998</v>
      </c>
      <c r="J7" s="105">
        <v>94.72</v>
      </c>
      <c r="K7" s="104">
        <v>432.04</v>
      </c>
      <c r="L7" s="104">
        <v>2125.96</v>
      </c>
      <c r="M7" s="105">
        <v>53.4</v>
      </c>
      <c r="N7" s="118"/>
      <c r="O7" s="104"/>
      <c r="P7" s="105"/>
      <c r="Q7" s="104"/>
      <c r="R7" s="104"/>
      <c r="S7" s="105"/>
      <c r="T7" s="104"/>
      <c r="U7" s="104"/>
      <c r="V7" s="105"/>
      <c r="W7" s="104"/>
      <c r="X7" s="104"/>
      <c r="Y7" s="121"/>
      <c r="Z7" s="122"/>
      <c r="AA7" s="122"/>
      <c r="AB7" s="121"/>
      <c r="AC7" s="122"/>
      <c r="AD7" s="122"/>
      <c r="AE7" s="121"/>
      <c r="AF7" s="122"/>
      <c r="AG7" s="122"/>
      <c r="AH7" s="121"/>
      <c r="AI7" s="122"/>
      <c r="AJ7" s="122"/>
      <c r="AK7" s="121"/>
      <c r="AL7" s="104">
        <v>105.17</v>
      </c>
      <c r="AM7" s="104">
        <v>1292.83</v>
      </c>
      <c r="AN7" s="105">
        <v>13</v>
      </c>
      <c r="AO7" s="118"/>
      <c r="AP7" s="119"/>
      <c r="AQ7" s="120"/>
      <c r="AR7" s="118"/>
      <c r="AS7" s="119"/>
      <c r="AT7" s="120"/>
      <c r="AU7" s="118"/>
      <c r="AV7" s="119"/>
      <c r="AW7" s="120"/>
      <c r="AX7" s="123"/>
      <c r="AY7" s="119"/>
      <c r="AZ7" s="120"/>
      <c r="BA7" s="118"/>
      <c r="BB7" s="119"/>
      <c r="BC7" s="120"/>
      <c r="BD7" s="118"/>
      <c r="BE7" s="119"/>
      <c r="BF7" s="120"/>
      <c r="BG7" s="124"/>
      <c r="BH7" s="181">
        <v>2</v>
      </c>
      <c r="BI7" s="112">
        <f t="shared" si="1"/>
        <v>161.12</v>
      </c>
      <c r="BJ7" s="113">
        <v>550</v>
      </c>
      <c r="BK7" s="113">
        <v>300</v>
      </c>
      <c r="BL7" s="114">
        <f t="shared" si="2"/>
        <v>2153.4899999999998</v>
      </c>
      <c r="BM7" s="114">
        <f>F7+I7+L7+R7+O7+U7+X7+AM7+AP7+AS7+AV7+AY7+BB7+BE7</f>
        <v>5579.4699999999993</v>
      </c>
      <c r="BN7" s="195">
        <f>BL7+BM7</f>
        <v>7732.9599999999991</v>
      </c>
      <c r="BO7" s="220"/>
      <c r="BP7" s="187" t="str">
        <f t="shared" si="3"/>
        <v>17-29</v>
      </c>
      <c r="BQ7" s="221"/>
      <c r="BR7" s="115"/>
      <c r="BS7" s="116"/>
      <c r="BT7" s="117"/>
    </row>
    <row r="8" spans="1:72" x14ac:dyDescent="0.2">
      <c r="A8" s="71" t="s">
        <v>112</v>
      </c>
      <c r="B8" s="171" t="s">
        <v>87</v>
      </c>
      <c r="C8" s="202" t="s">
        <v>217</v>
      </c>
      <c r="D8" s="103">
        <f t="shared" si="0"/>
        <v>190.06</v>
      </c>
      <c r="E8" s="72">
        <v>1432.38</v>
      </c>
      <c r="F8" s="125">
        <v>2796.66</v>
      </c>
      <c r="G8" s="126">
        <v>177.06</v>
      </c>
      <c r="H8" s="73"/>
      <c r="I8" s="72"/>
      <c r="J8" s="126"/>
      <c r="K8" s="73"/>
      <c r="L8" s="72"/>
      <c r="M8" s="126"/>
      <c r="N8" s="73"/>
      <c r="O8" s="72"/>
      <c r="P8" s="126"/>
      <c r="Q8" s="73"/>
      <c r="R8" s="72"/>
      <c r="S8" s="126"/>
      <c r="T8" s="73"/>
      <c r="U8" s="72"/>
      <c r="V8" s="126"/>
      <c r="W8" s="73"/>
      <c r="X8" s="72"/>
      <c r="Y8" s="126"/>
      <c r="Z8" s="73"/>
      <c r="AA8" s="72"/>
      <c r="AB8" s="126"/>
      <c r="AC8" s="73"/>
      <c r="AD8" s="72"/>
      <c r="AE8" s="126"/>
      <c r="AF8" s="73"/>
      <c r="AG8" s="72"/>
      <c r="AH8" s="126"/>
      <c r="AI8" s="73"/>
      <c r="AJ8" s="72"/>
      <c r="AK8" s="126"/>
      <c r="AL8" s="73">
        <v>105.17</v>
      </c>
      <c r="AM8" s="72">
        <v>1709.33</v>
      </c>
      <c r="AN8" s="126">
        <v>13</v>
      </c>
      <c r="AO8" s="73"/>
      <c r="AP8" s="72"/>
      <c r="AQ8" s="126"/>
      <c r="AR8" s="73"/>
      <c r="AS8" s="72"/>
      <c r="AT8" s="126"/>
      <c r="AU8" s="73"/>
      <c r="AV8" s="72"/>
      <c r="AW8" s="126"/>
      <c r="AX8" s="73"/>
      <c r="AY8" s="73"/>
      <c r="AZ8" s="126"/>
      <c r="BA8" s="73"/>
      <c r="BB8" s="72"/>
      <c r="BC8" s="126"/>
      <c r="BD8" s="73"/>
      <c r="BE8" s="72"/>
      <c r="BF8" s="126"/>
      <c r="BG8" s="127"/>
      <c r="BH8" s="201">
        <v>2</v>
      </c>
      <c r="BI8" s="112">
        <f t="shared" si="1"/>
        <v>190.06</v>
      </c>
      <c r="BJ8" s="113">
        <v>550</v>
      </c>
      <c r="BK8" s="113">
        <v>300</v>
      </c>
      <c r="BL8" s="114">
        <f t="shared" si="2"/>
        <v>2387.5500000000002</v>
      </c>
      <c r="BM8" s="114">
        <f>F8+I8+L8+R8+O8+U8+X8+AM8+AP8+AS8+AV8+AY8+BB8+BE8</f>
        <v>4505.99</v>
      </c>
      <c r="BN8" s="195">
        <f>BL8+BM8</f>
        <v>6893.54</v>
      </c>
      <c r="BO8" s="191"/>
      <c r="BP8" s="187" t="str">
        <f t="shared" si="3"/>
        <v>18-1</v>
      </c>
      <c r="BQ8" s="183">
        <v>94730</v>
      </c>
      <c r="BR8" s="129"/>
      <c r="BS8" s="129"/>
      <c r="BT8" s="130"/>
    </row>
    <row r="9" spans="1:72" x14ac:dyDescent="0.2">
      <c r="A9" s="71" t="s">
        <v>113</v>
      </c>
      <c r="B9" s="171" t="s">
        <v>87</v>
      </c>
      <c r="C9" s="202" t="s">
        <v>218</v>
      </c>
      <c r="D9" s="103">
        <f t="shared" si="0"/>
        <v>77.97</v>
      </c>
      <c r="E9" s="72">
        <v>578.08000000000004</v>
      </c>
      <c r="F9" s="125">
        <v>1893.72</v>
      </c>
      <c r="G9" s="126">
        <v>71.459999999999994</v>
      </c>
      <c r="H9" s="73">
        <v>274.81</v>
      </c>
      <c r="I9" s="72">
        <v>52.68</v>
      </c>
      <c r="J9" s="126">
        <v>6.51</v>
      </c>
      <c r="K9" s="73"/>
      <c r="L9" s="72"/>
      <c r="M9" s="126"/>
      <c r="N9" s="73"/>
      <c r="O9" s="72"/>
      <c r="P9" s="126"/>
      <c r="Q9" s="73"/>
      <c r="R9" s="72"/>
      <c r="S9" s="126"/>
      <c r="T9" s="73"/>
      <c r="U9" s="72"/>
      <c r="V9" s="126"/>
      <c r="W9" s="73"/>
      <c r="X9" s="72"/>
      <c r="Y9" s="126"/>
      <c r="Z9" s="73"/>
      <c r="AA9" s="72"/>
      <c r="AB9" s="126"/>
      <c r="AC9" s="73"/>
      <c r="AD9" s="72"/>
      <c r="AE9" s="126"/>
      <c r="AF9" s="73"/>
      <c r="AG9" s="72"/>
      <c r="AH9" s="126"/>
      <c r="AI9" s="73"/>
      <c r="AJ9" s="72"/>
      <c r="AK9" s="126"/>
      <c r="AL9" s="73"/>
      <c r="AM9" s="72"/>
      <c r="AN9" s="126"/>
      <c r="AO9" s="73"/>
      <c r="AP9" s="72"/>
      <c r="AQ9" s="126"/>
      <c r="AR9" s="73"/>
      <c r="AS9" s="72"/>
      <c r="AT9" s="126"/>
      <c r="AU9" s="73"/>
      <c r="AV9" s="72"/>
      <c r="AW9" s="126"/>
      <c r="AX9" s="73"/>
      <c r="AY9" s="72"/>
      <c r="AZ9" s="126"/>
      <c r="BA9" s="73"/>
      <c r="BB9" s="72"/>
      <c r="BC9" s="126"/>
      <c r="BD9" s="73"/>
      <c r="BE9" s="72"/>
      <c r="BF9" s="126"/>
      <c r="BG9" s="127"/>
      <c r="BH9" s="201">
        <v>2</v>
      </c>
      <c r="BI9" s="112">
        <f t="shared" si="1"/>
        <v>77.97</v>
      </c>
      <c r="BJ9" s="113">
        <v>550</v>
      </c>
      <c r="BK9" s="113">
        <v>300</v>
      </c>
      <c r="BL9" s="114">
        <f t="shared" si="2"/>
        <v>1702.89</v>
      </c>
      <c r="BM9" s="114">
        <f>F9+I9+L9+R9+O9+U9+X9+AM9+AP9+AS9+AV9+AY9+BB9+BE9</f>
        <v>1946.4</v>
      </c>
      <c r="BN9" s="195">
        <f>BL9+BM9</f>
        <v>3649.29</v>
      </c>
      <c r="BO9" s="191"/>
      <c r="BP9" s="187" t="str">
        <f t="shared" si="3"/>
        <v>18-2</v>
      </c>
      <c r="BQ9" s="183">
        <v>94843</v>
      </c>
      <c r="BR9" s="129"/>
      <c r="BS9" s="129"/>
      <c r="BT9" s="130"/>
    </row>
    <row r="10" spans="1:72" x14ac:dyDescent="0.2">
      <c r="A10" s="71" t="s">
        <v>114</v>
      </c>
      <c r="B10" s="171" t="s">
        <v>85</v>
      </c>
      <c r="C10" s="202" t="s">
        <v>219</v>
      </c>
      <c r="D10" s="103">
        <f t="shared" si="0"/>
        <v>178.62</v>
      </c>
      <c r="E10" s="72">
        <v>716.9</v>
      </c>
      <c r="F10" s="125">
        <v>1505.72</v>
      </c>
      <c r="G10" s="126">
        <v>88.62</v>
      </c>
      <c r="H10" s="73"/>
      <c r="I10" s="72"/>
      <c r="J10" s="126"/>
      <c r="K10" s="73"/>
      <c r="L10" s="72"/>
      <c r="M10" s="126"/>
      <c r="N10" s="73"/>
      <c r="O10" s="72"/>
      <c r="P10" s="126"/>
      <c r="Q10" s="73"/>
      <c r="R10" s="72"/>
      <c r="S10" s="126"/>
      <c r="T10" s="73"/>
      <c r="U10" s="72"/>
      <c r="V10" s="126"/>
      <c r="W10" s="73">
        <v>622.92999999999995</v>
      </c>
      <c r="X10" s="72">
        <v>268.08999999999997</v>
      </c>
      <c r="Y10" s="126">
        <v>77</v>
      </c>
      <c r="Z10" s="73"/>
      <c r="AA10" s="72"/>
      <c r="AB10" s="126"/>
      <c r="AC10" s="73"/>
      <c r="AD10" s="72"/>
      <c r="AE10" s="126"/>
      <c r="AF10" s="73"/>
      <c r="AG10" s="72"/>
      <c r="AH10" s="126"/>
      <c r="AI10" s="73"/>
      <c r="AJ10" s="72"/>
      <c r="AK10" s="126"/>
      <c r="AL10" s="73">
        <v>105.17</v>
      </c>
      <c r="AM10" s="72">
        <v>1006.91</v>
      </c>
      <c r="AN10" s="126">
        <v>13</v>
      </c>
      <c r="AO10" s="73"/>
      <c r="AP10" s="72"/>
      <c r="AQ10" s="126"/>
      <c r="AR10" s="73"/>
      <c r="AS10" s="72"/>
      <c r="AT10" s="126"/>
      <c r="AU10" s="73"/>
      <c r="AV10" s="72"/>
      <c r="AW10" s="126"/>
      <c r="AX10" s="73"/>
      <c r="AY10" s="72"/>
      <c r="AZ10" s="126"/>
      <c r="BA10" s="73"/>
      <c r="BB10" s="72"/>
      <c r="BC10" s="126"/>
      <c r="BD10" s="73"/>
      <c r="BE10" s="72"/>
      <c r="BF10" s="126"/>
      <c r="BG10" s="127">
        <v>500</v>
      </c>
      <c r="BH10" s="201">
        <v>3</v>
      </c>
      <c r="BI10" s="112">
        <f t="shared" si="1"/>
        <v>178.62</v>
      </c>
      <c r="BJ10" s="113">
        <v>550</v>
      </c>
      <c r="BK10" s="113">
        <v>300</v>
      </c>
      <c r="BL10" s="114">
        <f t="shared" si="2"/>
        <v>2295</v>
      </c>
      <c r="BM10" s="114">
        <f t="shared" ref="BM10:BM33" si="4">F10+I10+L10+R10+O10+U10+X10+AM10+AP10+AS10+AV10+AY10+BB10+BE10+BG10</f>
        <v>3280.72</v>
      </c>
      <c r="BN10" s="195">
        <f>BL10+BM10</f>
        <v>5575.7199999999993</v>
      </c>
      <c r="BO10" s="191"/>
      <c r="BP10" s="187" t="str">
        <f t="shared" si="3"/>
        <v>18-3</v>
      </c>
      <c r="BQ10" s="183" t="s">
        <v>115</v>
      </c>
      <c r="BR10" s="129"/>
      <c r="BS10" s="129"/>
      <c r="BT10" s="130"/>
    </row>
    <row r="11" spans="1:72" s="207" customFormat="1" x14ac:dyDescent="0.2">
      <c r="A11" s="197" t="s">
        <v>116</v>
      </c>
      <c r="B11" s="171" t="s">
        <v>87</v>
      </c>
      <c r="C11" s="171" t="s">
        <v>217</v>
      </c>
      <c r="D11" s="193">
        <f t="shared" si="0"/>
        <v>200.3</v>
      </c>
      <c r="E11" s="189">
        <v>548.17999999999995</v>
      </c>
      <c r="F11" s="185">
        <v>694.75</v>
      </c>
      <c r="G11" s="200">
        <v>67.760000000000005</v>
      </c>
      <c r="H11" s="196"/>
      <c r="I11" s="189"/>
      <c r="J11" s="200"/>
      <c r="K11" s="196">
        <v>344.12</v>
      </c>
      <c r="L11" s="189">
        <v>2816.35</v>
      </c>
      <c r="M11" s="200">
        <v>42.54</v>
      </c>
      <c r="N11" s="196"/>
      <c r="O11" s="189"/>
      <c r="P11" s="200"/>
      <c r="Q11" s="196"/>
      <c r="R11" s="189"/>
      <c r="S11" s="200"/>
      <c r="T11" s="196"/>
      <c r="U11" s="189"/>
      <c r="V11" s="200"/>
      <c r="W11" s="196">
        <v>622.92999999999995</v>
      </c>
      <c r="X11" s="189">
        <v>5.57</v>
      </c>
      <c r="Y11" s="200">
        <v>77</v>
      </c>
      <c r="Z11" s="196"/>
      <c r="AA11" s="189"/>
      <c r="AB11" s="200"/>
      <c r="AC11" s="196"/>
      <c r="AD11" s="189"/>
      <c r="AE11" s="200"/>
      <c r="AF11" s="196"/>
      <c r="AG11" s="189"/>
      <c r="AH11" s="200"/>
      <c r="AI11" s="196"/>
      <c r="AJ11" s="189"/>
      <c r="AK11" s="200"/>
      <c r="AL11" s="196">
        <v>105.17</v>
      </c>
      <c r="AM11" s="189">
        <v>365.89</v>
      </c>
      <c r="AN11" s="200">
        <v>13</v>
      </c>
      <c r="AO11" s="196"/>
      <c r="AP11" s="189"/>
      <c r="AQ11" s="200"/>
      <c r="AR11" s="196"/>
      <c r="AS11" s="189"/>
      <c r="AT11" s="200"/>
      <c r="AU11" s="196"/>
      <c r="AV11" s="189"/>
      <c r="AW11" s="200"/>
      <c r="AX11" s="196"/>
      <c r="AY11" s="189"/>
      <c r="AZ11" s="200"/>
      <c r="BA11" s="196"/>
      <c r="BB11" s="189"/>
      <c r="BC11" s="200"/>
      <c r="BD11" s="196"/>
      <c r="BE11" s="189"/>
      <c r="BF11" s="200"/>
      <c r="BG11" s="192"/>
      <c r="BH11" s="201">
        <v>4</v>
      </c>
      <c r="BI11" s="188">
        <f t="shared" si="1"/>
        <v>200.3</v>
      </c>
      <c r="BJ11" s="184">
        <v>550</v>
      </c>
      <c r="BK11" s="184">
        <v>300</v>
      </c>
      <c r="BL11" s="199">
        <f t="shared" si="2"/>
        <v>2470.4</v>
      </c>
      <c r="BM11" s="199">
        <f t="shared" si="4"/>
        <v>3882.56</v>
      </c>
      <c r="BN11" s="195">
        <f t="shared" ref="BN11:BN23" si="5">BL11+BM11</f>
        <v>6352.96</v>
      </c>
      <c r="BO11" s="191"/>
      <c r="BP11" s="187" t="str">
        <f t="shared" si="3"/>
        <v>18-4</v>
      </c>
      <c r="BQ11" s="183" t="s">
        <v>117</v>
      </c>
      <c r="BR11" s="198"/>
      <c r="BS11" s="198"/>
      <c r="BT11" s="194"/>
    </row>
    <row r="12" spans="1:72" x14ac:dyDescent="0.2">
      <c r="A12" s="71" t="s">
        <v>118</v>
      </c>
      <c r="B12" s="171" t="s">
        <v>71</v>
      </c>
      <c r="C12" s="202" t="s">
        <v>220</v>
      </c>
      <c r="D12" s="103">
        <f t="shared" si="0"/>
        <v>137.95999999999998</v>
      </c>
      <c r="E12" s="72">
        <v>1010.93</v>
      </c>
      <c r="F12" s="131">
        <v>1121.07</v>
      </c>
      <c r="G12" s="132">
        <v>124.96</v>
      </c>
      <c r="H12" s="73"/>
      <c r="I12" s="72"/>
      <c r="J12" s="132"/>
      <c r="K12" s="73"/>
      <c r="L12" s="72"/>
      <c r="M12" s="132"/>
      <c r="N12" s="73"/>
      <c r="O12" s="72"/>
      <c r="P12" s="132"/>
      <c r="Q12" s="73"/>
      <c r="R12" s="72"/>
      <c r="S12" s="132"/>
      <c r="T12" s="73"/>
      <c r="U12" s="72"/>
      <c r="V12" s="132"/>
      <c r="W12" s="73"/>
      <c r="X12" s="72"/>
      <c r="Y12" s="132"/>
      <c r="Z12" s="73"/>
      <c r="AA12" s="72"/>
      <c r="AB12" s="132"/>
      <c r="AC12" s="73"/>
      <c r="AD12" s="72"/>
      <c r="AE12" s="132"/>
      <c r="AF12" s="73"/>
      <c r="AG12" s="72"/>
      <c r="AH12" s="132"/>
      <c r="AI12" s="73"/>
      <c r="AJ12" s="72"/>
      <c r="AK12" s="132"/>
      <c r="AL12" s="73">
        <v>105.17</v>
      </c>
      <c r="AM12" s="72">
        <v>1448.83</v>
      </c>
      <c r="AN12" s="132">
        <v>13</v>
      </c>
      <c r="AO12" s="73"/>
      <c r="AP12" s="72"/>
      <c r="AQ12" s="132"/>
      <c r="AR12" s="73"/>
      <c r="AS12" s="72"/>
      <c r="AT12" s="132"/>
      <c r="AU12" s="73"/>
      <c r="AV12" s="72"/>
      <c r="AW12" s="132"/>
      <c r="AX12" s="73"/>
      <c r="AY12" s="72"/>
      <c r="AZ12" s="132"/>
      <c r="BA12" s="73"/>
      <c r="BB12" s="72"/>
      <c r="BC12" s="132"/>
      <c r="BD12" s="73"/>
      <c r="BE12" s="72"/>
      <c r="BF12" s="132"/>
      <c r="BG12" s="133"/>
      <c r="BH12" s="201">
        <v>2</v>
      </c>
      <c r="BI12" s="112">
        <f t="shared" si="1"/>
        <v>137.95999999999998</v>
      </c>
      <c r="BJ12" s="113">
        <v>550</v>
      </c>
      <c r="BK12" s="113">
        <v>300</v>
      </c>
      <c r="BL12" s="114">
        <f t="shared" si="2"/>
        <v>1966.1</v>
      </c>
      <c r="BM12" s="114">
        <f t="shared" si="4"/>
        <v>2569.8999999999996</v>
      </c>
      <c r="BN12" s="195">
        <f t="shared" si="5"/>
        <v>4536</v>
      </c>
      <c r="BO12" s="191"/>
      <c r="BP12" s="187" t="str">
        <f t="shared" si="3"/>
        <v>18-5</v>
      </c>
      <c r="BQ12" s="183" t="s">
        <v>119</v>
      </c>
      <c r="BR12" s="129"/>
      <c r="BS12" s="129"/>
      <c r="BT12" s="130"/>
    </row>
    <row r="13" spans="1:72" x14ac:dyDescent="0.2">
      <c r="A13" s="71" t="s">
        <v>120</v>
      </c>
      <c r="B13" s="171" t="s">
        <v>86</v>
      </c>
      <c r="C13" s="202" t="s">
        <v>221</v>
      </c>
      <c r="D13" s="103">
        <f t="shared" si="0"/>
        <v>141.63999999999999</v>
      </c>
      <c r="E13" s="72"/>
      <c r="F13" s="131"/>
      <c r="G13" s="132"/>
      <c r="H13" s="73"/>
      <c r="I13" s="72"/>
      <c r="J13" s="132"/>
      <c r="K13" s="73">
        <v>365.99</v>
      </c>
      <c r="L13" s="72">
        <v>3085.75</v>
      </c>
      <c r="M13" s="132">
        <v>45.24</v>
      </c>
      <c r="N13" s="73"/>
      <c r="O13" s="72"/>
      <c r="P13" s="132"/>
      <c r="Q13" s="73">
        <v>51.78</v>
      </c>
      <c r="R13" s="72">
        <v>5.22</v>
      </c>
      <c r="S13" s="132">
        <v>6.4</v>
      </c>
      <c r="T13" s="73"/>
      <c r="U13" s="72"/>
      <c r="V13" s="132"/>
      <c r="W13" s="73">
        <v>325</v>
      </c>
      <c r="X13" s="72">
        <v>0</v>
      </c>
      <c r="Y13" s="132">
        <v>77</v>
      </c>
      <c r="Z13" s="73"/>
      <c r="AA13" s="72"/>
      <c r="AB13" s="132"/>
      <c r="AC13" s="73"/>
      <c r="AD13" s="72"/>
      <c r="AE13" s="132"/>
      <c r="AF13" s="73"/>
      <c r="AG13" s="72"/>
      <c r="AH13" s="132"/>
      <c r="AI13" s="73"/>
      <c r="AJ13" s="72"/>
      <c r="AK13" s="132"/>
      <c r="AL13" s="73">
        <v>105.17</v>
      </c>
      <c r="AM13" s="73">
        <v>467.83</v>
      </c>
      <c r="AN13" s="132">
        <v>13</v>
      </c>
      <c r="AO13" s="73"/>
      <c r="AP13" s="72"/>
      <c r="AQ13" s="132"/>
      <c r="AR13" s="73"/>
      <c r="AS13" s="72"/>
      <c r="AT13" s="132"/>
      <c r="AU13" s="73"/>
      <c r="AV13" s="72"/>
      <c r="AW13" s="132"/>
      <c r="AX13" s="73"/>
      <c r="AY13" s="72"/>
      <c r="AZ13" s="132"/>
      <c r="BA13" s="73"/>
      <c r="BB13" s="72"/>
      <c r="BC13" s="132"/>
      <c r="BD13" s="73"/>
      <c r="BE13" s="72"/>
      <c r="BF13" s="132"/>
      <c r="BG13" s="133">
        <v>500</v>
      </c>
      <c r="BH13" s="201">
        <v>4</v>
      </c>
      <c r="BI13" s="112">
        <f t="shared" si="1"/>
        <v>141.63999999999999</v>
      </c>
      <c r="BJ13" s="113">
        <v>550</v>
      </c>
      <c r="BK13" s="113">
        <v>300</v>
      </c>
      <c r="BL13" s="114">
        <f t="shared" si="2"/>
        <v>1697.94</v>
      </c>
      <c r="BM13" s="114">
        <f t="shared" si="4"/>
        <v>4058.7999999999997</v>
      </c>
      <c r="BN13" s="195">
        <f t="shared" si="5"/>
        <v>5756.74</v>
      </c>
      <c r="BO13" s="191"/>
      <c r="BP13" s="187" t="str">
        <f t="shared" si="3"/>
        <v>18-6</v>
      </c>
      <c r="BQ13" s="183" t="s">
        <v>121</v>
      </c>
      <c r="BR13" s="129"/>
      <c r="BS13" s="129"/>
      <c r="BT13" s="130"/>
    </row>
    <row r="14" spans="1:72" x14ac:dyDescent="0.2">
      <c r="A14" s="71" t="s">
        <v>122</v>
      </c>
      <c r="B14" s="171" t="s">
        <v>87</v>
      </c>
      <c r="C14" s="202" t="s">
        <v>217</v>
      </c>
      <c r="D14" s="103">
        <f t="shared" si="0"/>
        <v>69.58</v>
      </c>
      <c r="E14" s="72">
        <v>457.76</v>
      </c>
      <c r="F14" s="131">
        <v>695.02</v>
      </c>
      <c r="G14" s="132">
        <v>56.58</v>
      </c>
      <c r="H14" s="73"/>
      <c r="I14" s="72"/>
      <c r="J14" s="132"/>
      <c r="K14" s="73"/>
      <c r="L14" s="72"/>
      <c r="M14" s="132"/>
      <c r="N14" s="73"/>
      <c r="O14" s="72"/>
      <c r="P14" s="132"/>
      <c r="Q14" s="73"/>
      <c r="R14" s="72"/>
      <c r="S14" s="132"/>
      <c r="T14" s="73"/>
      <c r="U14" s="72"/>
      <c r="V14" s="132"/>
      <c r="W14" s="73"/>
      <c r="X14" s="72"/>
      <c r="Y14" s="132"/>
      <c r="Z14" s="73"/>
      <c r="AA14" s="72"/>
      <c r="AB14" s="132"/>
      <c r="AC14" s="73"/>
      <c r="AD14" s="72"/>
      <c r="AE14" s="132"/>
      <c r="AF14" s="73"/>
      <c r="AG14" s="72"/>
      <c r="AH14" s="132"/>
      <c r="AI14" s="73"/>
      <c r="AJ14" s="72"/>
      <c r="AK14" s="132"/>
      <c r="AL14" s="73">
        <v>105.17</v>
      </c>
      <c r="AM14" s="73">
        <v>118.49</v>
      </c>
      <c r="AN14" s="132">
        <v>13</v>
      </c>
      <c r="AO14" s="73"/>
      <c r="AP14" s="72"/>
      <c r="AQ14" s="132"/>
      <c r="AR14" s="73"/>
      <c r="AS14" s="72"/>
      <c r="AT14" s="132"/>
      <c r="AU14" s="73"/>
      <c r="AV14" s="72"/>
      <c r="AW14" s="132"/>
      <c r="AX14" s="73"/>
      <c r="AY14" s="72"/>
      <c r="AZ14" s="132"/>
      <c r="BA14" s="73"/>
      <c r="BB14" s="72"/>
      <c r="BC14" s="132"/>
      <c r="BD14" s="73"/>
      <c r="BE14" s="72"/>
      <c r="BF14" s="132"/>
      <c r="BG14" s="133"/>
      <c r="BH14" s="201">
        <v>2</v>
      </c>
      <c r="BI14" s="112">
        <f t="shared" si="1"/>
        <v>69.58</v>
      </c>
      <c r="BJ14" s="113">
        <v>550</v>
      </c>
      <c r="BK14" s="113">
        <v>300</v>
      </c>
      <c r="BL14" s="114">
        <f t="shared" si="2"/>
        <v>1412.9299999999998</v>
      </c>
      <c r="BM14" s="114">
        <f t="shared" si="4"/>
        <v>813.51</v>
      </c>
      <c r="BN14" s="195">
        <f t="shared" si="5"/>
        <v>2226.4399999999996</v>
      </c>
      <c r="BO14" s="191"/>
      <c r="BP14" s="187" t="str">
        <f t="shared" si="3"/>
        <v>18-7</v>
      </c>
      <c r="BQ14" s="222" t="s">
        <v>123</v>
      </c>
      <c r="BR14" s="134"/>
      <c r="BS14" s="134"/>
      <c r="BT14" s="135"/>
    </row>
    <row r="15" spans="1:72" x14ac:dyDescent="0.2">
      <c r="A15" s="71" t="s">
        <v>124</v>
      </c>
      <c r="B15" s="171" t="s">
        <v>125</v>
      </c>
      <c r="C15" s="202" t="s">
        <v>222</v>
      </c>
      <c r="D15" s="103">
        <f t="shared" si="0"/>
        <v>127.44</v>
      </c>
      <c r="E15" s="72"/>
      <c r="F15" s="131"/>
      <c r="G15" s="132"/>
      <c r="H15" s="73"/>
      <c r="I15" s="72"/>
      <c r="J15" s="132"/>
      <c r="K15" s="73">
        <v>302.89</v>
      </c>
      <c r="L15" s="72">
        <v>2562.41</v>
      </c>
      <c r="M15" s="132">
        <v>37.44</v>
      </c>
      <c r="N15" s="73"/>
      <c r="O15" s="72"/>
      <c r="P15" s="132"/>
      <c r="Q15" s="73"/>
      <c r="R15" s="72"/>
      <c r="S15" s="132"/>
      <c r="T15" s="73"/>
      <c r="U15" s="72"/>
      <c r="V15" s="132"/>
      <c r="W15" s="73">
        <v>622.92999999999995</v>
      </c>
      <c r="X15" s="72">
        <v>463.59</v>
      </c>
      <c r="Y15" s="132">
        <v>77</v>
      </c>
      <c r="Z15" s="73"/>
      <c r="AA15" s="72"/>
      <c r="AB15" s="132"/>
      <c r="AC15" s="73"/>
      <c r="AD15" s="72"/>
      <c r="AE15" s="132"/>
      <c r="AF15" s="73"/>
      <c r="AG15" s="72"/>
      <c r="AH15" s="132"/>
      <c r="AI15" s="73"/>
      <c r="AJ15" s="72"/>
      <c r="AK15" s="132"/>
      <c r="AL15" s="73">
        <v>105.17</v>
      </c>
      <c r="AM15" s="73">
        <v>57.73</v>
      </c>
      <c r="AN15" s="132">
        <v>13</v>
      </c>
      <c r="AO15" s="73"/>
      <c r="AP15" s="72"/>
      <c r="AQ15" s="132"/>
      <c r="AR15" s="73"/>
      <c r="AS15" s="72"/>
      <c r="AT15" s="132"/>
      <c r="AU15" s="73"/>
      <c r="AV15" s="72"/>
      <c r="AW15" s="132"/>
      <c r="AX15" s="73"/>
      <c r="AY15" s="72"/>
      <c r="AZ15" s="132"/>
      <c r="BA15" s="73"/>
      <c r="BB15" s="72"/>
      <c r="BC15" s="132"/>
      <c r="BD15" s="73"/>
      <c r="BE15" s="72"/>
      <c r="BF15" s="132"/>
      <c r="BG15" s="133"/>
      <c r="BH15" s="201">
        <v>3</v>
      </c>
      <c r="BI15" s="112">
        <f t="shared" si="1"/>
        <v>127.44</v>
      </c>
      <c r="BJ15" s="113">
        <v>550</v>
      </c>
      <c r="BK15" s="113">
        <v>300</v>
      </c>
      <c r="BL15" s="114">
        <f t="shared" si="2"/>
        <v>1880.99</v>
      </c>
      <c r="BM15" s="114">
        <f t="shared" si="4"/>
        <v>3083.73</v>
      </c>
      <c r="BN15" s="195">
        <f t="shared" si="5"/>
        <v>4964.72</v>
      </c>
      <c r="BO15" s="191"/>
      <c r="BP15" s="187" t="str">
        <f t="shared" si="3"/>
        <v>18-8</v>
      </c>
      <c r="BQ15" s="183" t="s">
        <v>126</v>
      </c>
      <c r="BR15" s="129"/>
      <c r="BS15" s="129"/>
      <c r="BT15" s="130"/>
    </row>
    <row r="16" spans="1:72" x14ac:dyDescent="0.2">
      <c r="A16" s="71" t="s">
        <v>127</v>
      </c>
      <c r="B16" s="171" t="s">
        <v>128</v>
      </c>
      <c r="C16" s="202" t="s">
        <v>223</v>
      </c>
      <c r="D16" s="103">
        <f t="shared" si="0"/>
        <v>181.78</v>
      </c>
      <c r="E16" s="72"/>
      <c r="F16" s="125"/>
      <c r="G16" s="126"/>
      <c r="H16" s="73">
        <v>1195.52</v>
      </c>
      <c r="I16" s="72">
        <v>5596.56</v>
      </c>
      <c r="J16" s="126">
        <v>147.78</v>
      </c>
      <c r="K16" s="73"/>
      <c r="L16" s="72"/>
      <c r="M16" s="126"/>
      <c r="N16" s="73"/>
      <c r="O16" s="72"/>
      <c r="P16" s="126"/>
      <c r="Q16" s="73"/>
      <c r="R16" s="72"/>
      <c r="S16" s="126"/>
      <c r="T16" s="73">
        <v>74.760000000000005</v>
      </c>
      <c r="U16" s="72">
        <v>422.2</v>
      </c>
      <c r="V16" s="126">
        <v>21</v>
      </c>
      <c r="W16" s="73"/>
      <c r="X16" s="72"/>
      <c r="Y16" s="126"/>
      <c r="Z16" s="73"/>
      <c r="AA16" s="72"/>
      <c r="AB16" s="126"/>
      <c r="AC16" s="73"/>
      <c r="AD16" s="72"/>
      <c r="AE16" s="126"/>
      <c r="AF16" s="73"/>
      <c r="AG16" s="72"/>
      <c r="AH16" s="126"/>
      <c r="AI16" s="73"/>
      <c r="AJ16" s="72"/>
      <c r="AK16" s="126"/>
      <c r="AL16" s="73">
        <v>105.17</v>
      </c>
      <c r="AM16" s="72">
        <v>1743.57</v>
      </c>
      <c r="AN16" s="126">
        <v>13</v>
      </c>
      <c r="AO16" s="73"/>
      <c r="AP16" s="72"/>
      <c r="AQ16" s="126"/>
      <c r="AR16" s="73"/>
      <c r="AS16" s="72"/>
      <c r="AT16" s="126"/>
      <c r="AU16" s="73"/>
      <c r="AV16" s="72"/>
      <c r="AW16" s="126"/>
      <c r="AX16" s="73"/>
      <c r="AY16" s="72"/>
      <c r="AZ16" s="126"/>
      <c r="BA16" s="73"/>
      <c r="BB16" s="72"/>
      <c r="BC16" s="126"/>
      <c r="BD16" s="73"/>
      <c r="BE16" s="72"/>
      <c r="BF16" s="126"/>
      <c r="BG16" s="127"/>
      <c r="BH16" s="201">
        <v>3</v>
      </c>
      <c r="BI16" s="112">
        <f t="shared" si="1"/>
        <v>181.78</v>
      </c>
      <c r="BJ16" s="113">
        <v>550</v>
      </c>
      <c r="BK16" s="113">
        <v>300</v>
      </c>
      <c r="BL16" s="114">
        <f t="shared" si="2"/>
        <v>2225.4499999999998</v>
      </c>
      <c r="BM16" s="114">
        <f t="shared" si="4"/>
        <v>7762.33</v>
      </c>
      <c r="BN16" s="195">
        <f t="shared" si="5"/>
        <v>9987.7799999999988</v>
      </c>
      <c r="BO16" s="191"/>
      <c r="BP16" s="187" t="str">
        <f t="shared" si="3"/>
        <v>18-9</v>
      </c>
      <c r="BQ16" s="183" t="s">
        <v>129</v>
      </c>
      <c r="BR16" s="136" t="s">
        <v>4</v>
      </c>
      <c r="BS16" s="137" t="s">
        <v>130</v>
      </c>
      <c r="BT16" s="138"/>
    </row>
    <row r="17" spans="1:72" x14ac:dyDescent="0.2">
      <c r="A17" s="71" t="s">
        <v>131</v>
      </c>
      <c r="B17" s="171" t="s">
        <v>72</v>
      </c>
      <c r="C17" s="202" t="s">
        <v>224</v>
      </c>
      <c r="D17" s="103">
        <f t="shared" si="0"/>
        <v>285.86</v>
      </c>
      <c r="E17" s="72"/>
      <c r="F17" s="131"/>
      <c r="G17" s="132"/>
      <c r="H17" s="73"/>
      <c r="I17" s="72"/>
      <c r="J17" s="132"/>
      <c r="K17" s="73">
        <v>686.55</v>
      </c>
      <c r="L17" s="72">
        <v>4025.37</v>
      </c>
      <c r="M17" s="132">
        <v>84.86</v>
      </c>
      <c r="N17" s="73"/>
      <c r="O17" s="72"/>
      <c r="P17" s="132"/>
      <c r="Q17" s="73"/>
      <c r="R17" s="72"/>
      <c r="S17" s="132"/>
      <c r="T17" s="73"/>
      <c r="U17" s="72"/>
      <c r="V17" s="132"/>
      <c r="W17" s="73">
        <v>622.92999999999995</v>
      </c>
      <c r="X17" s="72">
        <v>478.75</v>
      </c>
      <c r="Y17" s="132">
        <v>77</v>
      </c>
      <c r="Z17" s="73"/>
      <c r="AA17" s="72"/>
      <c r="AB17" s="132"/>
      <c r="AC17" s="73"/>
      <c r="AD17" s="72"/>
      <c r="AE17" s="132"/>
      <c r="AF17" s="73"/>
      <c r="AG17" s="72"/>
      <c r="AH17" s="132"/>
      <c r="AI17" s="73"/>
      <c r="AJ17" s="72"/>
      <c r="AK17" s="132"/>
      <c r="AL17" s="73">
        <v>105.17</v>
      </c>
      <c r="AM17" s="72">
        <v>417.33</v>
      </c>
      <c r="AN17" s="132">
        <v>13</v>
      </c>
      <c r="AO17" s="73">
        <v>682.65</v>
      </c>
      <c r="AP17" s="72">
        <v>2429.19</v>
      </c>
      <c r="AQ17" s="132">
        <v>111</v>
      </c>
      <c r="AR17" s="73"/>
      <c r="AS17" s="72"/>
      <c r="AT17" s="132"/>
      <c r="AU17" s="73"/>
      <c r="AV17" s="72"/>
      <c r="AW17" s="132"/>
      <c r="AX17" s="73"/>
      <c r="AY17" s="72"/>
      <c r="AZ17" s="132"/>
      <c r="BA17" s="73"/>
      <c r="BB17" s="72"/>
      <c r="BC17" s="132"/>
      <c r="BD17" s="73"/>
      <c r="BE17" s="72"/>
      <c r="BF17" s="132"/>
      <c r="BG17" s="133"/>
      <c r="BH17" s="201">
        <v>4</v>
      </c>
      <c r="BI17" s="112">
        <f t="shared" si="1"/>
        <v>285.86</v>
      </c>
      <c r="BJ17" s="113">
        <v>550</v>
      </c>
      <c r="BK17" s="113">
        <v>300</v>
      </c>
      <c r="BL17" s="114">
        <f t="shared" si="2"/>
        <v>2947.3</v>
      </c>
      <c r="BM17" s="139">
        <f t="shared" si="4"/>
        <v>7350.6399999999994</v>
      </c>
      <c r="BN17" s="223">
        <v>10000</v>
      </c>
      <c r="BO17" s="191"/>
      <c r="BP17" s="187" t="str">
        <f t="shared" si="3"/>
        <v>18-10</v>
      </c>
      <c r="BQ17" s="183" t="s">
        <v>132</v>
      </c>
      <c r="BR17" s="72">
        <f>BL17+BM17</f>
        <v>10297.939999999999</v>
      </c>
      <c r="BS17" s="140">
        <f>BR17-10000</f>
        <v>297.93999999999869</v>
      </c>
      <c r="BT17" s="141"/>
    </row>
    <row r="18" spans="1:72" x14ac:dyDescent="0.2">
      <c r="A18" s="71" t="s">
        <v>133</v>
      </c>
      <c r="B18" s="171" t="s">
        <v>125</v>
      </c>
      <c r="C18" s="202" t="s">
        <v>222</v>
      </c>
      <c r="D18" s="103">
        <f t="shared" si="0"/>
        <v>87.8</v>
      </c>
      <c r="E18" s="72">
        <v>605.13</v>
      </c>
      <c r="F18" s="125">
        <v>1216.0899999999999</v>
      </c>
      <c r="G18" s="126">
        <v>74.8</v>
      </c>
      <c r="H18" s="73"/>
      <c r="I18" s="72"/>
      <c r="J18" s="126"/>
      <c r="K18" s="73"/>
      <c r="L18" s="72"/>
      <c r="M18" s="126"/>
      <c r="N18" s="73"/>
      <c r="O18" s="72"/>
      <c r="P18" s="126"/>
      <c r="Q18" s="73"/>
      <c r="R18" s="72"/>
      <c r="S18" s="126"/>
      <c r="T18" s="73"/>
      <c r="U18" s="72"/>
      <c r="V18" s="126"/>
      <c r="W18" s="73"/>
      <c r="X18" s="72"/>
      <c r="Y18" s="126"/>
      <c r="Z18" s="73"/>
      <c r="AA18" s="72"/>
      <c r="AB18" s="126"/>
      <c r="AC18" s="73"/>
      <c r="AD18" s="72"/>
      <c r="AE18" s="126"/>
      <c r="AF18" s="73"/>
      <c r="AG18" s="72"/>
      <c r="AH18" s="126"/>
      <c r="AI18" s="73"/>
      <c r="AJ18" s="72"/>
      <c r="AK18" s="126"/>
      <c r="AL18" s="73">
        <v>105.17</v>
      </c>
      <c r="AM18" s="72">
        <v>126.15</v>
      </c>
      <c r="AN18" s="126">
        <v>13</v>
      </c>
      <c r="AO18" s="73"/>
      <c r="AP18" s="72"/>
      <c r="AQ18" s="126"/>
      <c r="AR18" s="73"/>
      <c r="AS18" s="72"/>
      <c r="AT18" s="126"/>
      <c r="AU18" s="73"/>
      <c r="AV18" s="72"/>
      <c r="AW18" s="126"/>
      <c r="AX18" s="73"/>
      <c r="AY18" s="72"/>
      <c r="AZ18" s="126"/>
      <c r="BA18" s="73"/>
      <c r="BB18" s="72"/>
      <c r="BC18" s="126"/>
      <c r="BD18" s="73"/>
      <c r="BE18" s="72"/>
      <c r="BF18" s="126"/>
      <c r="BG18" s="127">
        <v>371.41</v>
      </c>
      <c r="BH18" s="201">
        <v>2</v>
      </c>
      <c r="BI18" s="112">
        <f t="shared" si="1"/>
        <v>87.8</v>
      </c>
      <c r="BJ18" s="113">
        <v>550</v>
      </c>
      <c r="BK18" s="113">
        <v>300</v>
      </c>
      <c r="BL18" s="114">
        <f t="shared" si="2"/>
        <v>1560.3</v>
      </c>
      <c r="BM18" s="114">
        <f>F18+I18+L18+R18+O18+U18+X18+AM18+AP18+AS18+AV18+AY18+BB18+BE18+BG18</f>
        <v>1713.65</v>
      </c>
      <c r="BN18" s="195">
        <f t="shared" si="5"/>
        <v>3273.95</v>
      </c>
      <c r="BO18" s="191"/>
      <c r="BP18" s="187" t="str">
        <f t="shared" si="3"/>
        <v>18-11</v>
      </c>
      <c r="BQ18" s="183" t="s">
        <v>134</v>
      </c>
      <c r="BR18" s="72"/>
      <c r="BS18" s="140"/>
      <c r="BT18" s="141"/>
    </row>
    <row r="19" spans="1:72" x14ac:dyDescent="0.2">
      <c r="A19" s="71" t="s">
        <v>135</v>
      </c>
      <c r="B19" s="171" t="s">
        <v>72</v>
      </c>
      <c r="C19" s="202" t="s">
        <v>224</v>
      </c>
      <c r="D19" s="103">
        <f t="shared" si="0"/>
        <v>95.69</v>
      </c>
      <c r="E19" s="72">
        <v>232.09</v>
      </c>
      <c r="F19" s="125">
        <v>1074.03</v>
      </c>
      <c r="G19" s="126">
        <v>28.69</v>
      </c>
      <c r="H19" s="73"/>
      <c r="I19" s="72"/>
      <c r="J19" s="126"/>
      <c r="K19" s="73"/>
      <c r="L19" s="72"/>
      <c r="M19" s="126"/>
      <c r="N19" s="73"/>
      <c r="O19" s="72"/>
      <c r="P19" s="126"/>
      <c r="Q19" s="73"/>
      <c r="R19" s="72"/>
      <c r="S19" s="126"/>
      <c r="T19" s="73"/>
      <c r="U19" s="72"/>
      <c r="V19" s="126"/>
      <c r="W19" s="73"/>
      <c r="X19" s="72"/>
      <c r="Y19" s="126"/>
      <c r="Z19" s="73"/>
      <c r="AA19" s="72"/>
      <c r="AB19" s="126"/>
      <c r="AC19" s="73"/>
      <c r="AD19" s="72"/>
      <c r="AE19" s="126"/>
      <c r="AF19" s="73"/>
      <c r="AG19" s="72"/>
      <c r="AH19" s="126"/>
      <c r="AI19" s="73"/>
      <c r="AJ19" s="72"/>
      <c r="AK19" s="126"/>
      <c r="AL19" s="73">
        <v>105.17</v>
      </c>
      <c r="AM19" s="72">
        <v>306.57</v>
      </c>
      <c r="AN19" s="126">
        <v>13</v>
      </c>
      <c r="AO19" s="73"/>
      <c r="AP19" s="72"/>
      <c r="AQ19" s="126"/>
      <c r="AR19" s="73"/>
      <c r="AS19" s="72"/>
      <c r="AT19" s="126"/>
      <c r="AU19" s="73"/>
      <c r="AV19" s="72"/>
      <c r="AW19" s="126"/>
      <c r="AX19" s="73"/>
      <c r="AY19" s="72"/>
      <c r="AZ19" s="126"/>
      <c r="BA19" s="73">
        <v>332.1</v>
      </c>
      <c r="BB19" s="72">
        <v>4711.2</v>
      </c>
      <c r="BC19" s="126">
        <v>54</v>
      </c>
      <c r="BD19" s="73"/>
      <c r="BE19" s="72"/>
      <c r="BF19" s="126"/>
      <c r="BG19" s="127">
        <v>500</v>
      </c>
      <c r="BH19" s="201">
        <v>3</v>
      </c>
      <c r="BI19" s="112">
        <f t="shared" si="1"/>
        <v>95.69</v>
      </c>
      <c r="BJ19" s="113">
        <v>550</v>
      </c>
      <c r="BK19" s="113">
        <v>300</v>
      </c>
      <c r="BL19" s="114">
        <f t="shared" si="2"/>
        <v>1519.3600000000001</v>
      </c>
      <c r="BM19" s="114">
        <f t="shared" si="4"/>
        <v>6591.7999999999993</v>
      </c>
      <c r="BN19" s="195">
        <f t="shared" si="5"/>
        <v>8111.16</v>
      </c>
      <c r="BO19" s="191"/>
      <c r="BP19" s="187" t="str">
        <f t="shared" si="3"/>
        <v>18-12</v>
      </c>
      <c r="BQ19" s="183">
        <v>95864</v>
      </c>
      <c r="BR19" s="72"/>
      <c r="BS19" s="140"/>
      <c r="BT19" s="141"/>
    </row>
    <row r="20" spans="1:72" x14ac:dyDescent="0.2">
      <c r="A20" s="71" t="s">
        <v>136</v>
      </c>
      <c r="B20" s="171" t="s">
        <v>71</v>
      </c>
      <c r="C20" s="202" t="s">
        <v>225</v>
      </c>
      <c r="D20" s="103">
        <f t="shared" si="0"/>
        <v>221.64</v>
      </c>
      <c r="E20" s="72">
        <v>922.65</v>
      </c>
      <c r="F20" s="125">
        <v>1384.35</v>
      </c>
      <c r="G20" s="126">
        <v>114.05</v>
      </c>
      <c r="H20" s="73"/>
      <c r="I20" s="72"/>
      <c r="J20" s="126"/>
      <c r="K20" s="73">
        <v>545.20000000000005</v>
      </c>
      <c r="L20" s="72">
        <v>4843.8</v>
      </c>
      <c r="M20" s="126">
        <v>67.39</v>
      </c>
      <c r="N20" s="73">
        <v>220.05</v>
      </c>
      <c r="O20" s="72">
        <v>1285.95</v>
      </c>
      <c r="P20" s="126">
        <v>27.2</v>
      </c>
      <c r="Q20" s="73"/>
      <c r="R20" s="72"/>
      <c r="S20" s="126"/>
      <c r="T20" s="73"/>
      <c r="U20" s="72"/>
      <c r="V20" s="126"/>
      <c r="W20" s="73"/>
      <c r="X20" s="72"/>
      <c r="Y20" s="126"/>
      <c r="Z20" s="73"/>
      <c r="AA20" s="72"/>
      <c r="AB20" s="126"/>
      <c r="AC20" s="73"/>
      <c r="AD20" s="72"/>
      <c r="AE20" s="126"/>
      <c r="AF20" s="73"/>
      <c r="AG20" s="72"/>
      <c r="AH20" s="126"/>
      <c r="AI20" s="73"/>
      <c r="AJ20" s="72"/>
      <c r="AK20" s="126"/>
      <c r="AL20" s="73">
        <v>105.17</v>
      </c>
      <c r="AM20" s="72">
        <v>368.83</v>
      </c>
      <c r="AN20" s="126">
        <v>13</v>
      </c>
      <c r="AO20" s="73"/>
      <c r="AP20" s="72"/>
      <c r="AQ20" s="126"/>
      <c r="AR20" s="73"/>
      <c r="AS20" s="72"/>
      <c r="AT20" s="126"/>
      <c r="AU20" s="73"/>
      <c r="AV20" s="72"/>
      <c r="AW20" s="126"/>
      <c r="AX20" s="73"/>
      <c r="AY20" s="72"/>
      <c r="AZ20" s="126"/>
      <c r="BA20" s="73"/>
      <c r="BB20" s="72"/>
      <c r="BC20" s="126"/>
      <c r="BD20" s="73"/>
      <c r="BE20" s="72"/>
      <c r="BF20" s="126"/>
      <c r="BG20" s="127"/>
      <c r="BH20" s="201">
        <v>4</v>
      </c>
      <c r="BI20" s="112">
        <f t="shared" si="1"/>
        <v>221.64</v>
      </c>
      <c r="BJ20" s="113">
        <v>550</v>
      </c>
      <c r="BK20" s="113">
        <v>300</v>
      </c>
      <c r="BL20" s="114">
        <f t="shared" si="2"/>
        <v>2643.0699999999997</v>
      </c>
      <c r="BM20" s="114">
        <f t="shared" si="4"/>
        <v>7882.9299999999994</v>
      </c>
      <c r="BN20" s="195">
        <v>10000</v>
      </c>
      <c r="BO20" s="191"/>
      <c r="BP20" s="187" t="str">
        <f t="shared" si="3"/>
        <v>18-13</v>
      </c>
      <c r="BQ20" s="183">
        <v>95686</v>
      </c>
      <c r="BR20" s="72">
        <f>BL20+BM20</f>
        <v>10526</v>
      </c>
      <c r="BS20" s="140">
        <f>BR20-10000</f>
        <v>526</v>
      </c>
      <c r="BT20" s="141"/>
    </row>
    <row r="21" spans="1:72" x14ac:dyDescent="0.2">
      <c r="A21" s="71" t="s">
        <v>137</v>
      </c>
      <c r="B21" s="171" t="s">
        <v>72</v>
      </c>
      <c r="C21" s="202" t="s">
        <v>224</v>
      </c>
      <c r="D21" s="103">
        <f t="shared" si="0"/>
        <v>454.28</v>
      </c>
      <c r="E21" s="72">
        <v>717.62</v>
      </c>
      <c r="F21" s="131">
        <v>2630.72</v>
      </c>
      <c r="G21" s="132">
        <v>88.7</v>
      </c>
      <c r="H21" s="73">
        <v>774.67</v>
      </c>
      <c r="I21" s="72">
        <v>4290.8</v>
      </c>
      <c r="J21" s="132">
        <v>95.76</v>
      </c>
      <c r="K21" s="73">
        <v>119.89</v>
      </c>
      <c r="L21" s="72">
        <v>1253.97</v>
      </c>
      <c r="M21" s="132">
        <v>14.82</v>
      </c>
      <c r="N21" s="73"/>
      <c r="O21" s="72"/>
      <c r="P21" s="132"/>
      <c r="Q21" s="73"/>
      <c r="R21" s="72"/>
      <c r="S21" s="132"/>
      <c r="T21" s="73"/>
      <c r="U21" s="72"/>
      <c r="V21" s="132"/>
      <c r="W21" s="73">
        <v>270.58999999999997</v>
      </c>
      <c r="X21" s="72">
        <v>0</v>
      </c>
      <c r="Y21" s="132">
        <v>77</v>
      </c>
      <c r="Z21" s="73"/>
      <c r="AA21" s="72"/>
      <c r="AB21" s="132"/>
      <c r="AC21" s="73"/>
      <c r="AD21" s="72"/>
      <c r="AE21" s="132"/>
      <c r="AF21" s="73"/>
      <c r="AG21" s="72"/>
      <c r="AH21" s="132"/>
      <c r="AI21" s="73"/>
      <c r="AJ21" s="72"/>
      <c r="AK21" s="132"/>
      <c r="AL21" s="73">
        <v>105.17</v>
      </c>
      <c r="AM21" s="72">
        <v>951.01</v>
      </c>
      <c r="AN21" s="132">
        <v>13</v>
      </c>
      <c r="AO21" s="73">
        <v>682.65</v>
      </c>
      <c r="AP21" s="72">
        <v>3762.85</v>
      </c>
      <c r="AQ21" s="132">
        <v>111</v>
      </c>
      <c r="AR21" s="73"/>
      <c r="AS21" s="72"/>
      <c r="AT21" s="132"/>
      <c r="AU21" s="73"/>
      <c r="AV21" s="72"/>
      <c r="AW21" s="132"/>
      <c r="AX21" s="73"/>
      <c r="AY21" s="72"/>
      <c r="AZ21" s="132"/>
      <c r="BA21" s="73">
        <v>332.1</v>
      </c>
      <c r="BB21" s="72">
        <v>5023.3999999999996</v>
      </c>
      <c r="BC21" s="132">
        <v>54</v>
      </c>
      <c r="BD21" s="73"/>
      <c r="BE21" s="72"/>
      <c r="BF21" s="132"/>
      <c r="BG21" s="133"/>
      <c r="BH21" s="201">
        <v>7</v>
      </c>
      <c r="BI21" s="112">
        <f t="shared" si="1"/>
        <v>454.28</v>
      </c>
      <c r="BJ21" s="113">
        <v>550</v>
      </c>
      <c r="BK21" s="113">
        <v>300</v>
      </c>
      <c r="BL21" s="114">
        <f t="shared" si="2"/>
        <v>3852.69</v>
      </c>
      <c r="BM21" s="114">
        <f t="shared" si="4"/>
        <v>17912.75</v>
      </c>
      <c r="BN21" s="195">
        <v>10000</v>
      </c>
      <c r="BO21" s="191"/>
      <c r="BP21" s="187" t="str">
        <f t="shared" si="3"/>
        <v>18-14</v>
      </c>
      <c r="BQ21" s="183">
        <v>95862</v>
      </c>
      <c r="BR21" s="76">
        <f>BL21+BM21</f>
        <v>21765.439999999999</v>
      </c>
      <c r="BS21" s="142">
        <f>BR21-10000</f>
        <v>11765.439999999999</v>
      </c>
      <c r="BT21" s="143"/>
    </row>
    <row r="22" spans="1:72" x14ac:dyDescent="0.2">
      <c r="A22" s="71" t="s">
        <v>138</v>
      </c>
      <c r="B22" s="171" t="s">
        <v>88</v>
      </c>
      <c r="C22" s="202" t="s">
        <v>226</v>
      </c>
      <c r="D22" s="103">
        <f t="shared" si="0"/>
        <v>58.08</v>
      </c>
      <c r="E22" s="72">
        <v>469.87</v>
      </c>
      <c r="F22" s="131">
        <v>288.02999999999997</v>
      </c>
      <c r="G22" s="132">
        <v>58.08</v>
      </c>
      <c r="H22" s="73"/>
      <c r="I22" s="72"/>
      <c r="J22" s="132"/>
      <c r="K22" s="73"/>
      <c r="L22" s="72"/>
      <c r="M22" s="132"/>
      <c r="N22" s="73"/>
      <c r="O22" s="72"/>
      <c r="P22" s="132"/>
      <c r="Q22" s="73"/>
      <c r="R22" s="72"/>
      <c r="S22" s="132"/>
      <c r="T22" s="73"/>
      <c r="U22" s="72"/>
      <c r="V22" s="132"/>
      <c r="W22" s="73"/>
      <c r="X22" s="72"/>
      <c r="Y22" s="132"/>
      <c r="Z22" s="73"/>
      <c r="AA22" s="72"/>
      <c r="AB22" s="132"/>
      <c r="AC22" s="73"/>
      <c r="AD22" s="72"/>
      <c r="AE22" s="132"/>
      <c r="AF22" s="73"/>
      <c r="AG22" s="72"/>
      <c r="AH22" s="132"/>
      <c r="AI22" s="73"/>
      <c r="AJ22" s="72"/>
      <c r="AK22" s="132"/>
      <c r="AL22" s="73"/>
      <c r="AM22" s="73"/>
      <c r="AN22" s="132"/>
      <c r="AO22" s="73"/>
      <c r="AP22" s="72"/>
      <c r="AQ22" s="132"/>
      <c r="AR22" s="73"/>
      <c r="AS22" s="72"/>
      <c r="AT22" s="132"/>
      <c r="AU22" s="73"/>
      <c r="AV22" s="72"/>
      <c r="AW22" s="132"/>
      <c r="AX22" s="73"/>
      <c r="AY22" s="72"/>
      <c r="AZ22" s="132"/>
      <c r="BA22" s="73"/>
      <c r="BB22" s="72"/>
      <c r="BC22" s="132"/>
      <c r="BD22" s="73"/>
      <c r="BE22" s="72"/>
      <c r="BF22" s="132"/>
      <c r="BG22" s="133"/>
      <c r="BH22" s="201">
        <v>1</v>
      </c>
      <c r="BI22" s="112">
        <f>G22+J22+M22+S22+P22+V22+Y22+AN22+AQ22+AT22+BC22+AW22+AZ22+BF22</f>
        <v>58.08</v>
      </c>
      <c r="BJ22" s="113">
        <v>550</v>
      </c>
      <c r="BK22" s="113">
        <v>300</v>
      </c>
      <c r="BL22" s="114">
        <f t="shared" si="2"/>
        <v>1319.87</v>
      </c>
      <c r="BM22" s="114">
        <f t="shared" si="4"/>
        <v>288.02999999999997</v>
      </c>
      <c r="BN22" s="195">
        <f t="shared" si="5"/>
        <v>1607.8999999999999</v>
      </c>
      <c r="BO22" s="191"/>
      <c r="BP22" s="187" t="str">
        <f t="shared" si="3"/>
        <v>18-15</v>
      </c>
      <c r="BQ22" s="183">
        <v>95877</v>
      </c>
      <c r="BR22" s="129"/>
      <c r="BS22" s="129">
        <f>SUM(BS17:BS21)</f>
        <v>12589.379999999997</v>
      </c>
      <c r="BT22" s="130"/>
    </row>
    <row r="23" spans="1:72" x14ac:dyDescent="0.2">
      <c r="A23" s="71" t="s">
        <v>139</v>
      </c>
      <c r="B23" s="171" t="s">
        <v>125</v>
      </c>
      <c r="C23" s="202" t="s">
        <v>222</v>
      </c>
      <c r="D23" s="103">
        <f t="shared" si="0"/>
        <v>208.12</v>
      </c>
      <c r="E23" s="72">
        <v>888.48</v>
      </c>
      <c r="F23" s="131">
        <v>1728.78</v>
      </c>
      <c r="G23" s="132">
        <v>109.82</v>
      </c>
      <c r="H23" s="73"/>
      <c r="I23" s="72"/>
      <c r="J23" s="132"/>
      <c r="K23" s="73">
        <v>525.01</v>
      </c>
      <c r="L23" s="72">
        <v>2840.81</v>
      </c>
      <c r="M23" s="132">
        <v>64.900000000000006</v>
      </c>
      <c r="N23" s="73">
        <v>165.04</v>
      </c>
      <c r="O23" s="72">
        <v>1581.25</v>
      </c>
      <c r="P23" s="132">
        <v>20.399999999999999</v>
      </c>
      <c r="Q23" s="73"/>
      <c r="R23" s="72"/>
      <c r="S23" s="132"/>
      <c r="T23" s="73"/>
      <c r="U23" s="72"/>
      <c r="V23" s="132"/>
      <c r="W23" s="73"/>
      <c r="X23" s="72"/>
      <c r="Y23" s="132"/>
      <c r="Z23" s="73"/>
      <c r="AA23" s="72"/>
      <c r="AB23" s="132"/>
      <c r="AC23" s="73"/>
      <c r="AD23" s="72"/>
      <c r="AE23" s="132"/>
      <c r="AF23" s="73"/>
      <c r="AG23" s="72"/>
      <c r="AH23" s="132"/>
      <c r="AI23" s="73"/>
      <c r="AJ23" s="72"/>
      <c r="AK23" s="132"/>
      <c r="AL23" s="73">
        <v>105.17</v>
      </c>
      <c r="AM23" s="73">
        <v>247.78</v>
      </c>
      <c r="AN23" s="132">
        <v>13</v>
      </c>
      <c r="AO23" s="73"/>
      <c r="AP23" s="72"/>
      <c r="AQ23" s="132"/>
      <c r="AR23" s="73"/>
      <c r="AS23" s="72"/>
      <c r="AT23" s="132"/>
      <c r="AU23" s="73"/>
      <c r="AV23" s="72"/>
      <c r="AW23" s="132"/>
      <c r="AX23" s="73"/>
      <c r="AY23" s="72"/>
      <c r="AZ23" s="132"/>
      <c r="BA23" s="73"/>
      <c r="BB23" s="72"/>
      <c r="BC23" s="132"/>
      <c r="BD23" s="73"/>
      <c r="BE23" s="72"/>
      <c r="BF23" s="132"/>
      <c r="BG23" s="133">
        <v>448.6</v>
      </c>
      <c r="BH23" s="201">
        <v>4</v>
      </c>
      <c r="BI23" s="112">
        <f t="shared" ref="BI23:BI32" si="6">G23+J23+M23+S23+P23+V23+Y23+AN23+AQ23+AT23+AW23+AZ23+BC23+BF23</f>
        <v>208.12</v>
      </c>
      <c r="BJ23" s="113">
        <v>550</v>
      </c>
      <c r="BK23" s="113">
        <v>300</v>
      </c>
      <c r="BL23" s="114">
        <f t="shared" si="2"/>
        <v>2533.6999999999998</v>
      </c>
      <c r="BM23" s="114">
        <f t="shared" si="4"/>
        <v>6847.22</v>
      </c>
      <c r="BN23" s="195">
        <f t="shared" si="5"/>
        <v>9380.92</v>
      </c>
      <c r="BO23" s="191"/>
      <c r="BP23" s="187" t="str">
        <f t="shared" si="3"/>
        <v>18-16</v>
      </c>
      <c r="BQ23" s="222">
        <v>95958</v>
      </c>
      <c r="BR23" s="134"/>
      <c r="BS23" s="134"/>
      <c r="BT23" s="135"/>
    </row>
    <row r="24" spans="1:72" x14ac:dyDescent="0.2">
      <c r="A24" s="71" t="s">
        <v>140</v>
      </c>
      <c r="B24" s="171" t="s">
        <v>87</v>
      </c>
      <c r="C24" s="202" t="s">
        <v>217</v>
      </c>
      <c r="D24" s="103">
        <f t="shared" si="0"/>
        <v>160.77000000000001</v>
      </c>
      <c r="E24" s="72">
        <v>768.87</v>
      </c>
      <c r="F24" s="131">
        <v>1896.02</v>
      </c>
      <c r="G24" s="132">
        <v>95.04</v>
      </c>
      <c r="H24" s="73"/>
      <c r="I24" s="72"/>
      <c r="J24" s="132"/>
      <c r="K24" s="73">
        <v>531.74</v>
      </c>
      <c r="L24" s="72">
        <v>3681.06</v>
      </c>
      <c r="M24" s="132">
        <v>65.73</v>
      </c>
      <c r="N24" s="73"/>
      <c r="O24" s="72"/>
      <c r="P24" s="132"/>
      <c r="Q24" s="73"/>
      <c r="R24" s="72"/>
      <c r="S24" s="132"/>
      <c r="T24" s="73"/>
      <c r="U24" s="72"/>
      <c r="V24" s="132"/>
      <c r="W24" s="73"/>
      <c r="X24" s="72"/>
      <c r="Y24" s="132"/>
      <c r="Z24" s="73"/>
      <c r="AA24" s="72"/>
      <c r="AB24" s="132"/>
      <c r="AC24" s="73"/>
      <c r="AD24" s="72"/>
      <c r="AE24" s="132"/>
      <c r="AF24" s="73"/>
      <c r="AG24" s="72"/>
      <c r="AH24" s="132"/>
      <c r="AI24" s="73"/>
      <c r="AJ24" s="72"/>
      <c r="AK24" s="132"/>
      <c r="AL24" s="73"/>
      <c r="AM24" s="73"/>
      <c r="AN24" s="132"/>
      <c r="AO24" s="73"/>
      <c r="AP24" s="72"/>
      <c r="AQ24" s="132"/>
      <c r="AR24" s="73"/>
      <c r="AS24" s="72"/>
      <c r="AT24" s="132"/>
      <c r="AU24" s="73"/>
      <c r="AV24" s="72"/>
      <c r="AW24" s="132"/>
      <c r="AX24" s="73"/>
      <c r="AY24" s="72"/>
      <c r="AZ24" s="132"/>
      <c r="BA24" s="73"/>
      <c r="BB24" s="72"/>
      <c r="BC24" s="132"/>
      <c r="BD24" s="73"/>
      <c r="BE24" s="72"/>
      <c r="BF24" s="132"/>
      <c r="BG24" s="133"/>
      <c r="BH24" s="201">
        <v>2</v>
      </c>
      <c r="BI24" s="112">
        <f t="shared" si="6"/>
        <v>160.77000000000001</v>
      </c>
      <c r="BJ24" s="113">
        <v>550</v>
      </c>
      <c r="BK24" s="113">
        <v>300</v>
      </c>
      <c r="BL24" s="114">
        <f t="shared" si="2"/>
        <v>2150.61</v>
      </c>
      <c r="BM24" s="114">
        <f t="shared" si="4"/>
        <v>5577.08</v>
      </c>
      <c r="BN24" s="195">
        <f>BL24+BM24</f>
        <v>7727.6900000000005</v>
      </c>
      <c r="BO24" s="191"/>
      <c r="BP24" s="187" t="str">
        <f t="shared" si="3"/>
        <v>18-17</v>
      </c>
      <c r="BQ24" s="183">
        <v>96181</v>
      </c>
      <c r="BR24" s="129"/>
      <c r="BS24" s="129"/>
      <c r="BT24" s="130"/>
    </row>
    <row r="25" spans="1:72" x14ac:dyDescent="0.2">
      <c r="A25" s="71" t="s">
        <v>141</v>
      </c>
      <c r="B25" s="171" t="s">
        <v>87</v>
      </c>
      <c r="C25" s="202" t="s">
        <v>217</v>
      </c>
      <c r="D25" s="103">
        <f t="shared" si="0"/>
        <v>99.53</v>
      </c>
      <c r="E25" s="72">
        <v>323.92</v>
      </c>
      <c r="F25" s="131">
        <v>714.71</v>
      </c>
      <c r="G25" s="132">
        <v>40.04</v>
      </c>
      <c r="H25" s="73"/>
      <c r="I25" s="72"/>
      <c r="J25" s="132"/>
      <c r="K25" s="73">
        <v>481.26</v>
      </c>
      <c r="L25" s="72">
        <v>2776.78</v>
      </c>
      <c r="M25" s="132">
        <v>59.49</v>
      </c>
      <c r="N25" s="73"/>
      <c r="O25" s="72"/>
      <c r="P25" s="132"/>
      <c r="Q25" s="73"/>
      <c r="R25" s="72"/>
      <c r="S25" s="132"/>
      <c r="T25" s="73"/>
      <c r="U25" s="72"/>
      <c r="V25" s="132"/>
      <c r="W25" s="73"/>
      <c r="X25" s="72"/>
      <c r="Y25" s="132"/>
      <c r="Z25" s="73"/>
      <c r="AA25" s="72"/>
      <c r="AB25" s="132"/>
      <c r="AC25" s="73"/>
      <c r="AD25" s="72"/>
      <c r="AE25" s="132"/>
      <c r="AF25" s="73"/>
      <c r="AG25" s="72"/>
      <c r="AH25" s="132"/>
      <c r="AI25" s="73"/>
      <c r="AJ25" s="72"/>
      <c r="AK25" s="132"/>
      <c r="AL25" s="73"/>
      <c r="AM25" s="72"/>
      <c r="AN25" s="132"/>
      <c r="AO25" s="73"/>
      <c r="AP25" s="72"/>
      <c r="AQ25" s="132"/>
      <c r="AR25" s="73"/>
      <c r="AS25" s="72"/>
      <c r="AT25" s="132"/>
      <c r="AU25" s="73"/>
      <c r="AV25" s="72"/>
      <c r="AW25" s="132"/>
      <c r="AX25" s="73"/>
      <c r="AY25" s="72"/>
      <c r="AZ25" s="132"/>
      <c r="BA25" s="73"/>
      <c r="BB25" s="72"/>
      <c r="BC25" s="132"/>
      <c r="BD25" s="73"/>
      <c r="BE25" s="72"/>
      <c r="BF25" s="132"/>
      <c r="BG25" s="133"/>
      <c r="BH25" s="201">
        <v>2</v>
      </c>
      <c r="BI25" s="112">
        <f t="shared" si="6"/>
        <v>99.53</v>
      </c>
      <c r="BJ25" s="113">
        <v>550</v>
      </c>
      <c r="BK25" s="113">
        <v>300</v>
      </c>
      <c r="BL25" s="114">
        <f t="shared" si="2"/>
        <v>1655.18</v>
      </c>
      <c r="BM25" s="114">
        <f t="shared" si="4"/>
        <v>3491.4900000000002</v>
      </c>
      <c r="BN25" s="195">
        <f t="shared" ref="BN25:BN32" si="7">BL25+BM25</f>
        <v>5146.67</v>
      </c>
      <c r="BO25" s="191"/>
      <c r="BP25" s="187" t="str">
        <f t="shared" si="3"/>
        <v>18-18</v>
      </c>
      <c r="BQ25" s="183">
        <v>96182</v>
      </c>
      <c r="BR25" s="129"/>
      <c r="BS25" s="129"/>
      <c r="BT25" s="130"/>
    </row>
    <row r="26" spans="1:72" x14ac:dyDescent="0.2">
      <c r="A26" s="71" t="s">
        <v>142</v>
      </c>
      <c r="B26" s="171" t="s">
        <v>125</v>
      </c>
      <c r="C26" s="202" t="s">
        <v>222</v>
      </c>
      <c r="D26" s="103">
        <f t="shared" si="0"/>
        <v>118.51</v>
      </c>
      <c r="E26" s="72">
        <v>853.59</v>
      </c>
      <c r="F26" s="131">
        <v>1452.58</v>
      </c>
      <c r="G26" s="132">
        <v>105.51</v>
      </c>
      <c r="H26" s="73"/>
      <c r="I26" s="72"/>
      <c r="J26" s="132"/>
      <c r="K26" s="73"/>
      <c r="L26" s="72"/>
      <c r="M26" s="132"/>
      <c r="N26" s="73"/>
      <c r="O26" s="72"/>
      <c r="P26" s="132"/>
      <c r="Q26" s="73"/>
      <c r="R26" s="72"/>
      <c r="S26" s="132"/>
      <c r="T26" s="73"/>
      <c r="U26" s="72"/>
      <c r="V26" s="132"/>
      <c r="W26" s="73"/>
      <c r="X26" s="72"/>
      <c r="Y26" s="132"/>
      <c r="Z26" s="73"/>
      <c r="AA26" s="72"/>
      <c r="AB26" s="132"/>
      <c r="AC26" s="73"/>
      <c r="AD26" s="72"/>
      <c r="AE26" s="132"/>
      <c r="AF26" s="73"/>
      <c r="AG26" s="72"/>
      <c r="AH26" s="132"/>
      <c r="AI26" s="73"/>
      <c r="AJ26" s="72"/>
      <c r="AK26" s="132"/>
      <c r="AL26" s="73">
        <v>105.17</v>
      </c>
      <c r="AM26" s="72">
        <v>779.92</v>
      </c>
      <c r="AN26" s="132">
        <v>13</v>
      </c>
      <c r="AO26" s="73"/>
      <c r="AP26" s="72"/>
      <c r="AQ26" s="132"/>
      <c r="AR26" s="73"/>
      <c r="AS26" s="72"/>
      <c r="AT26" s="132"/>
      <c r="AU26" s="73"/>
      <c r="AV26" s="72"/>
      <c r="AW26" s="132"/>
      <c r="AX26" s="73"/>
      <c r="AY26" s="72"/>
      <c r="AZ26" s="132"/>
      <c r="BA26" s="73"/>
      <c r="BB26" s="72"/>
      <c r="BC26" s="132"/>
      <c r="BD26" s="73"/>
      <c r="BE26" s="72"/>
      <c r="BF26" s="132"/>
      <c r="BG26" s="133"/>
      <c r="BH26" s="201">
        <v>2</v>
      </c>
      <c r="BI26" s="112">
        <f t="shared" si="6"/>
        <v>118.51</v>
      </c>
      <c r="BJ26" s="113">
        <v>550</v>
      </c>
      <c r="BK26" s="113">
        <v>300</v>
      </c>
      <c r="BL26" s="114">
        <f t="shared" si="2"/>
        <v>1808.76</v>
      </c>
      <c r="BM26" s="114">
        <f t="shared" si="4"/>
        <v>2232.5</v>
      </c>
      <c r="BN26" s="195">
        <f>BL26+BM26</f>
        <v>4041.26</v>
      </c>
      <c r="BO26" s="191"/>
      <c r="BP26" s="187" t="str">
        <f t="shared" si="3"/>
        <v>18-19</v>
      </c>
      <c r="BQ26" s="183">
        <v>96485</v>
      </c>
      <c r="BR26" s="129"/>
      <c r="BS26" s="198"/>
      <c r="BT26" s="194"/>
    </row>
    <row r="27" spans="1:72" x14ac:dyDescent="0.2">
      <c r="A27" s="71" t="s">
        <v>143</v>
      </c>
      <c r="B27" s="171" t="s">
        <v>72</v>
      </c>
      <c r="C27" s="202" t="s">
        <v>227</v>
      </c>
      <c r="D27" s="103">
        <f t="shared" si="0"/>
        <v>351.5</v>
      </c>
      <c r="E27" s="72">
        <v>2505.62</v>
      </c>
      <c r="F27" s="131">
        <v>0</v>
      </c>
      <c r="G27" s="132">
        <v>81.75</v>
      </c>
      <c r="H27" s="73">
        <v>2129.75</v>
      </c>
      <c r="I27" s="72">
        <v>854.08</v>
      </c>
      <c r="J27" s="132">
        <v>68.75</v>
      </c>
      <c r="K27" s="73"/>
      <c r="L27" s="72"/>
      <c r="M27" s="132"/>
      <c r="N27" s="73"/>
      <c r="O27" s="72"/>
      <c r="P27" s="132"/>
      <c r="Q27" s="73"/>
      <c r="R27" s="72"/>
      <c r="S27" s="132"/>
      <c r="T27" s="73"/>
      <c r="U27" s="72"/>
      <c r="V27" s="132"/>
      <c r="W27" s="73">
        <v>542.08000000000004</v>
      </c>
      <c r="X27" s="72">
        <v>228.27</v>
      </c>
      <c r="Y27" s="132">
        <v>77</v>
      </c>
      <c r="Z27" s="73"/>
      <c r="AA27" s="72"/>
      <c r="AB27" s="132"/>
      <c r="AC27" s="73"/>
      <c r="AD27" s="72"/>
      <c r="AE27" s="132"/>
      <c r="AF27" s="73"/>
      <c r="AG27" s="72"/>
      <c r="AH27" s="132"/>
      <c r="AI27" s="73"/>
      <c r="AJ27" s="72"/>
      <c r="AK27" s="132"/>
      <c r="AL27" s="73">
        <v>91.52</v>
      </c>
      <c r="AM27" s="72">
        <v>2221.61</v>
      </c>
      <c r="AN27" s="132">
        <v>13</v>
      </c>
      <c r="AO27" s="73">
        <v>1136.6400000000001</v>
      </c>
      <c r="AP27" s="72">
        <v>5045.3999999999996</v>
      </c>
      <c r="AQ27" s="132">
        <v>111</v>
      </c>
      <c r="AR27" s="73"/>
      <c r="AS27" s="72"/>
      <c r="AT27" s="132"/>
      <c r="AU27" s="73"/>
      <c r="AV27" s="72"/>
      <c r="AW27" s="132"/>
      <c r="AX27" s="73"/>
      <c r="AY27" s="72"/>
      <c r="AZ27" s="132"/>
      <c r="BA27" s="73"/>
      <c r="BB27" s="72"/>
      <c r="BC27" s="132"/>
      <c r="BD27" s="73"/>
      <c r="BE27" s="72"/>
      <c r="BF27" s="132"/>
      <c r="BG27" s="133"/>
      <c r="BH27" s="201">
        <v>5</v>
      </c>
      <c r="BI27" s="112">
        <f t="shared" si="6"/>
        <v>351.5</v>
      </c>
      <c r="BJ27" s="113">
        <f>BN27*0.15</f>
        <v>2213.2455</v>
      </c>
      <c r="BK27" s="113">
        <f>BN27*0.1</f>
        <v>1475.4970000000003</v>
      </c>
      <c r="BL27" s="114">
        <f>E27+H27+K27+Q27+N27+T27+W27+AL27+AO27+AR27+AU27+AX27+BA27+BD27</f>
        <v>6405.6100000000006</v>
      </c>
      <c r="BM27" s="114">
        <f t="shared" si="4"/>
        <v>8349.36</v>
      </c>
      <c r="BN27" s="195">
        <f>BL27+BM27</f>
        <v>14754.970000000001</v>
      </c>
      <c r="BO27" s="191">
        <f>BJ27+BK27+BN27</f>
        <v>18443.712500000001</v>
      </c>
      <c r="BP27" s="187" t="str">
        <f t="shared" si="3"/>
        <v>18-20</v>
      </c>
      <c r="BQ27" s="183">
        <v>97050</v>
      </c>
      <c r="BR27" s="129"/>
      <c r="BS27" s="198"/>
      <c r="BT27" s="219"/>
    </row>
    <row r="28" spans="1:72" x14ac:dyDescent="0.2">
      <c r="A28" s="71" t="s">
        <v>144</v>
      </c>
      <c r="B28" s="171" t="s">
        <v>88</v>
      </c>
      <c r="C28" s="202" t="s">
        <v>226</v>
      </c>
      <c r="D28" s="103">
        <f t="shared" si="0"/>
        <v>68.2</v>
      </c>
      <c r="E28" s="72">
        <v>551.74</v>
      </c>
      <c r="F28" s="131">
        <v>352.23</v>
      </c>
      <c r="G28" s="132">
        <v>68.2</v>
      </c>
      <c r="H28" s="73"/>
      <c r="I28" s="72"/>
      <c r="J28" s="132"/>
      <c r="K28" s="73"/>
      <c r="L28" s="72"/>
      <c r="M28" s="132"/>
      <c r="N28" s="73"/>
      <c r="O28" s="72"/>
      <c r="P28" s="132"/>
      <c r="Q28" s="73"/>
      <c r="R28" s="72"/>
      <c r="S28" s="132"/>
      <c r="T28" s="73"/>
      <c r="U28" s="72"/>
      <c r="V28" s="132"/>
      <c r="W28" s="73"/>
      <c r="X28" s="72"/>
      <c r="Y28" s="132"/>
      <c r="Z28" s="73"/>
      <c r="AA28" s="72"/>
      <c r="AB28" s="132"/>
      <c r="AC28" s="73"/>
      <c r="AD28" s="72"/>
      <c r="AE28" s="132"/>
      <c r="AF28" s="73"/>
      <c r="AG28" s="72"/>
      <c r="AH28" s="132"/>
      <c r="AI28" s="73"/>
      <c r="AJ28" s="72"/>
      <c r="AK28" s="132"/>
      <c r="AL28" s="73"/>
      <c r="AM28" s="72"/>
      <c r="AN28" s="132"/>
      <c r="AO28" s="73"/>
      <c r="AP28" s="72"/>
      <c r="AQ28" s="132"/>
      <c r="AR28" s="73"/>
      <c r="AS28" s="72"/>
      <c r="AT28" s="132"/>
      <c r="AU28" s="73"/>
      <c r="AV28" s="72"/>
      <c r="AW28" s="132"/>
      <c r="AX28" s="73"/>
      <c r="AY28" s="72"/>
      <c r="AZ28" s="132"/>
      <c r="BA28" s="73"/>
      <c r="BB28" s="72"/>
      <c r="BC28" s="132"/>
      <c r="BD28" s="73"/>
      <c r="BE28" s="72"/>
      <c r="BF28" s="132"/>
      <c r="BG28" s="133"/>
      <c r="BH28" s="201">
        <v>1</v>
      </c>
      <c r="BI28" s="112">
        <f t="shared" si="6"/>
        <v>68.2</v>
      </c>
      <c r="BJ28" s="113">
        <v>550</v>
      </c>
      <c r="BK28" s="113">
        <v>300</v>
      </c>
      <c r="BL28" s="114">
        <f>E28+H28+K28+Q28+N28+T28+W28+AL28+AO28+AR28+AU28+AX28+BA28+BD28+BJ28+BK28</f>
        <v>1401.74</v>
      </c>
      <c r="BM28" s="114">
        <f t="shared" si="4"/>
        <v>352.23</v>
      </c>
      <c r="BN28" s="195">
        <f t="shared" si="7"/>
        <v>1753.97</v>
      </c>
      <c r="BO28" s="191"/>
      <c r="BP28" s="187" t="str">
        <f t="shared" si="3"/>
        <v>18-21</v>
      </c>
      <c r="BQ28" s="183">
        <v>97512</v>
      </c>
      <c r="BR28" s="129"/>
      <c r="BS28" s="198"/>
      <c r="BT28" s="194"/>
    </row>
    <row r="29" spans="1:72" x14ac:dyDescent="0.2">
      <c r="A29" s="71" t="s">
        <v>145</v>
      </c>
      <c r="B29" s="171" t="s">
        <v>88</v>
      </c>
      <c r="C29" s="202" t="s">
        <v>226</v>
      </c>
      <c r="D29" s="103">
        <f t="shared" si="0"/>
        <v>98.56</v>
      </c>
      <c r="E29" s="72">
        <v>797.35</v>
      </c>
      <c r="F29" s="131">
        <v>427.41</v>
      </c>
      <c r="G29" s="132">
        <v>98.56</v>
      </c>
      <c r="H29" s="73"/>
      <c r="I29" s="72"/>
      <c r="J29" s="132"/>
      <c r="K29" s="73"/>
      <c r="L29" s="72"/>
      <c r="M29" s="132"/>
      <c r="N29" s="73"/>
      <c r="O29" s="72"/>
      <c r="P29" s="132"/>
      <c r="Q29" s="73"/>
      <c r="R29" s="72"/>
      <c r="S29" s="132"/>
      <c r="T29" s="73"/>
      <c r="U29" s="72"/>
      <c r="V29" s="132"/>
      <c r="W29" s="73"/>
      <c r="X29" s="72"/>
      <c r="Y29" s="132"/>
      <c r="Z29" s="73"/>
      <c r="AA29" s="72"/>
      <c r="AB29" s="132"/>
      <c r="AC29" s="73"/>
      <c r="AD29" s="72"/>
      <c r="AE29" s="132"/>
      <c r="AF29" s="73"/>
      <c r="AG29" s="72"/>
      <c r="AH29" s="132"/>
      <c r="AI29" s="73"/>
      <c r="AJ29" s="72"/>
      <c r="AK29" s="132"/>
      <c r="AL29" s="73"/>
      <c r="AM29" s="72"/>
      <c r="AN29" s="132"/>
      <c r="AO29" s="73"/>
      <c r="AP29" s="72"/>
      <c r="AQ29" s="132"/>
      <c r="AR29" s="73"/>
      <c r="AS29" s="72"/>
      <c r="AT29" s="132"/>
      <c r="AU29" s="73"/>
      <c r="AV29" s="72"/>
      <c r="AW29" s="132"/>
      <c r="AX29" s="73"/>
      <c r="AY29" s="72"/>
      <c r="AZ29" s="132"/>
      <c r="BA29" s="73"/>
      <c r="BB29" s="72"/>
      <c r="BC29" s="132"/>
      <c r="BD29" s="73"/>
      <c r="BE29" s="72"/>
      <c r="BF29" s="132"/>
      <c r="BG29" s="133"/>
      <c r="BH29" s="201">
        <v>1</v>
      </c>
      <c r="BI29" s="112">
        <f t="shared" si="6"/>
        <v>98.56</v>
      </c>
      <c r="BJ29" s="113">
        <v>550</v>
      </c>
      <c r="BK29" s="113">
        <v>300</v>
      </c>
      <c r="BL29" s="114">
        <f>E29+H29+K29+Q29+N29+T29+W29+AL29+AO29+AR29+AU29+AX29+BA29+BD29+BJ29+BK29</f>
        <v>1647.35</v>
      </c>
      <c r="BM29" s="114">
        <f t="shared" si="4"/>
        <v>427.41</v>
      </c>
      <c r="BN29" s="195">
        <f t="shared" si="7"/>
        <v>2074.7599999999998</v>
      </c>
      <c r="BO29" s="191"/>
      <c r="BP29" s="187" t="str">
        <f t="shared" si="3"/>
        <v>18-22</v>
      </c>
      <c r="BQ29" s="183">
        <v>97513</v>
      </c>
      <c r="BR29" s="129"/>
      <c r="BS29" s="198"/>
      <c r="BT29" s="194"/>
    </row>
    <row r="30" spans="1:72" x14ac:dyDescent="0.2">
      <c r="A30" s="71" t="s">
        <v>146</v>
      </c>
      <c r="B30" s="171" t="s">
        <v>86</v>
      </c>
      <c r="C30" s="202" t="s">
        <v>221</v>
      </c>
      <c r="D30" s="103">
        <f t="shared" si="0"/>
        <v>398.6</v>
      </c>
      <c r="E30" s="72">
        <v>2074.08</v>
      </c>
      <c r="F30" s="131">
        <v>0</v>
      </c>
      <c r="G30" s="132">
        <v>122.5</v>
      </c>
      <c r="H30" s="73"/>
      <c r="I30" s="72"/>
      <c r="J30" s="132"/>
      <c r="K30" s="73">
        <v>2242.46</v>
      </c>
      <c r="L30" s="72">
        <v>1766.23</v>
      </c>
      <c r="M30" s="132">
        <v>72.38</v>
      </c>
      <c r="N30" s="73">
        <v>0</v>
      </c>
      <c r="O30" s="72">
        <v>42</v>
      </c>
      <c r="P30" s="132">
        <v>2.72</v>
      </c>
      <c r="Q30" s="73"/>
      <c r="R30" s="72"/>
      <c r="S30" s="132"/>
      <c r="T30" s="73"/>
      <c r="U30" s="72"/>
      <c r="V30" s="132"/>
      <c r="W30" s="73">
        <v>542.08000000000004</v>
      </c>
      <c r="X30" s="72">
        <v>150.91999999999999</v>
      </c>
      <c r="Y30" s="132">
        <v>77</v>
      </c>
      <c r="Z30" s="73"/>
      <c r="AA30" s="72"/>
      <c r="AB30" s="132"/>
      <c r="AC30" s="73"/>
      <c r="AD30" s="72"/>
      <c r="AE30" s="132"/>
      <c r="AF30" s="73"/>
      <c r="AG30" s="72"/>
      <c r="AH30" s="132"/>
      <c r="AI30" s="73"/>
      <c r="AJ30" s="72"/>
      <c r="AK30" s="132"/>
      <c r="AL30" s="73">
        <v>91.52</v>
      </c>
      <c r="AM30" s="72">
        <v>3034.27</v>
      </c>
      <c r="AN30" s="132">
        <v>13</v>
      </c>
      <c r="AO30" s="73">
        <v>1136.6400000000001</v>
      </c>
      <c r="AP30" s="72">
        <v>3318.36</v>
      </c>
      <c r="AQ30" s="132">
        <v>111</v>
      </c>
      <c r="AR30" s="73"/>
      <c r="AS30" s="72"/>
      <c r="AT30" s="132"/>
      <c r="AU30" s="73"/>
      <c r="AV30" s="72"/>
      <c r="AW30" s="132"/>
      <c r="AX30" s="73"/>
      <c r="AY30" s="72"/>
      <c r="AZ30" s="132"/>
      <c r="BA30" s="73"/>
      <c r="BB30" s="72"/>
      <c r="BC30" s="132"/>
      <c r="BD30" s="73"/>
      <c r="BE30" s="72"/>
      <c r="BF30" s="132"/>
      <c r="BG30" s="133"/>
      <c r="BH30" s="201">
        <v>6</v>
      </c>
      <c r="BI30" s="112">
        <f t="shared" si="6"/>
        <v>398.6</v>
      </c>
      <c r="BJ30" s="113">
        <f t="shared" ref="BJ30:BJ33" si="8">BN30*0.15</f>
        <v>2159.7840000000001</v>
      </c>
      <c r="BK30" s="113">
        <f>BN30*0.1</f>
        <v>1439.8560000000002</v>
      </c>
      <c r="BL30" s="114">
        <f>E30+H30+K30+Q30+N30+T30+W30+AL30+AO30+AR30+AU30+AX30+BA30+BD30</f>
        <v>6086.7800000000007</v>
      </c>
      <c r="BM30" s="114">
        <f t="shared" si="4"/>
        <v>8311.7800000000007</v>
      </c>
      <c r="BN30" s="195">
        <f>BL30+BM30</f>
        <v>14398.560000000001</v>
      </c>
      <c r="BO30" s="191">
        <f>BJ30+BK30+BN30</f>
        <v>17998.2</v>
      </c>
      <c r="BP30" s="187" t="str">
        <f t="shared" si="3"/>
        <v>18-23</v>
      </c>
      <c r="BQ30" s="183"/>
      <c r="BR30" s="129"/>
      <c r="BS30" s="198"/>
      <c r="BT30" s="194"/>
    </row>
    <row r="31" spans="1:72" x14ac:dyDescent="0.2">
      <c r="A31" s="71" t="s">
        <v>147</v>
      </c>
      <c r="B31" s="171" t="s">
        <v>148</v>
      </c>
      <c r="C31" s="202" t="s">
        <v>220</v>
      </c>
      <c r="D31" s="103">
        <f t="shared" si="0"/>
        <v>225.66000000000003</v>
      </c>
      <c r="E31" s="72">
        <v>1663.01</v>
      </c>
      <c r="F31" s="131">
        <v>1753.74</v>
      </c>
      <c r="G31" s="132">
        <v>53.68</v>
      </c>
      <c r="H31" s="73">
        <v>3388.34</v>
      </c>
      <c r="I31" s="72">
        <v>52.16</v>
      </c>
      <c r="J31" s="132">
        <v>109.37</v>
      </c>
      <c r="K31" s="73">
        <v>1338.71</v>
      </c>
      <c r="L31" s="72">
        <v>1584.9</v>
      </c>
      <c r="M31" s="132">
        <v>43.21</v>
      </c>
      <c r="N31" s="73"/>
      <c r="O31" s="72"/>
      <c r="P31" s="132"/>
      <c r="Q31" s="73">
        <v>0</v>
      </c>
      <c r="R31" s="72">
        <v>548.44000000000005</v>
      </c>
      <c r="S31" s="132">
        <v>6.4</v>
      </c>
      <c r="T31" s="73"/>
      <c r="U31" s="72"/>
      <c r="V31" s="132"/>
      <c r="W31" s="73"/>
      <c r="X31" s="72"/>
      <c r="Y31" s="132"/>
      <c r="Z31" s="73"/>
      <c r="AA31" s="72"/>
      <c r="AB31" s="132"/>
      <c r="AC31" s="73"/>
      <c r="AD31" s="72"/>
      <c r="AE31" s="132"/>
      <c r="AF31" s="73"/>
      <c r="AG31" s="72"/>
      <c r="AH31" s="132"/>
      <c r="AI31" s="73"/>
      <c r="AJ31" s="72"/>
      <c r="AK31" s="132"/>
      <c r="AL31" s="73">
        <v>91.52</v>
      </c>
      <c r="AM31" s="72">
        <v>2432.7600000000002</v>
      </c>
      <c r="AN31" s="132">
        <v>13</v>
      </c>
      <c r="AO31" s="73"/>
      <c r="AP31" s="72"/>
      <c r="AQ31" s="132"/>
      <c r="AR31" s="73"/>
      <c r="AS31" s="72"/>
      <c r="AT31" s="132"/>
      <c r="AU31" s="73"/>
      <c r="AV31" s="72"/>
      <c r="AW31" s="132"/>
      <c r="AX31" s="73"/>
      <c r="AY31" s="72"/>
      <c r="AZ31" s="132"/>
      <c r="BA31" s="73"/>
      <c r="BB31" s="72"/>
      <c r="BC31" s="132"/>
      <c r="BD31" s="73"/>
      <c r="BE31" s="72"/>
      <c r="BF31" s="132"/>
      <c r="BG31" s="133"/>
      <c r="BH31" s="201">
        <v>5</v>
      </c>
      <c r="BI31" s="112">
        <f t="shared" si="6"/>
        <v>225.66000000000003</v>
      </c>
      <c r="BJ31" s="113">
        <f t="shared" si="8"/>
        <v>1928.0370000000003</v>
      </c>
      <c r="BK31" s="113">
        <f>BN31*0.1</f>
        <v>1285.3580000000002</v>
      </c>
      <c r="BL31" s="114">
        <f>E31+H31+K31+Q31+N31+T31+W31+AL31+AO31+AR31+AU31+AX31+BA31+BD31</f>
        <v>6481.5800000000008</v>
      </c>
      <c r="BM31" s="114">
        <f t="shared" si="4"/>
        <v>6372</v>
      </c>
      <c r="BN31" s="195">
        <f t="shared" si="7"/>
        <v>12853.580000000002</v>
      </c>
      <c r="BO31" s="191">
        <f>BJ31+BK31+BN31</f>
        <v>16066.975000000002</v>
      </c>
      <c r="BP31" s="187" t="str">
        <f t="shared" si="3"/>
        <v>18-24</v>
      </c>
      <c r="BQ31" s="183">
        <v>98240</v>
      </c>
      <c r="BR31" s="129"/>
      <c r="BS31" s="198"/>
      <c r="BT31" s="194"/>
    </row>
    <row r="32" spans="1:72" x14ac:dyDescent="0.2">
      <c r="A32" s="71" t="s">
        <v>149</v>
      </c>
      <c r="B32" s="171" t="s">
        <v>148</v>
      </c>
      <c r="C32" s="202" t="s">
        <v>228</v>
      </c>
      <c r="D32" s="103">
        <f t="shared" si="0"/>
        <v>273.71000000000004</v>
      </c>
      <c r="E32" s="72">
        <v>4552.82</v>
      </c>
      <c r="F32" s="158">
        <v>1285.1400000000001</v>
      </c>
      <c r="G32" s="132">
        <v>146.96</v>
      </c>
      <c r="H32" s="73">
        <v>422.65</v>
      </c>
      <c r="I32" s="72">
        <v>0</v>
      </c>
      <c r="J32" s="132">
        <v>18.940000000000001</v>
      </c>
      <c r="K32" s="82">
        <v>1723.73</v>
      </c>
      <c r="L32" s="159">
        <v>2856.26</v>
      </c>
      <c r="M32" s="132">
        <v>55.64</v>
      </c>
      <c r="N32" s="73">
        <v>0</v>
      </c>
      <c r="O32" s="72">
        <v>3908.2</v>
      </c>
      <c r="P32" s="132">
        <v>39.17</v>
      </c>
      <c r="Q32" s="73"/>
      <c r="R32" s="72"/>
      <c r="S32" s="132"/>
      <c r="T32" s="73"/>
      <c r="U32" s="72"/>
      <c r="V32" s="126"/>
      <c r="W32" s="73"/>
      <c r="X32" s="72"/>
      <c r="Y32" s="132"/>
      <c r="Z32" s="73"/>
      <c r="AA32" s="72"/>
      <c r="AB32" s="132"/>
      <c r="AC32" s="73"/>
      <c r="AD32" s="72"/>
      <c r="AE32" s="132"/>
      <c r="AF32" s="73"/>
      <c r="AG32" s="72"/>
      <c r="AH32" s="132"/>
      <c r="AI32" s="73"/>
      <c r="AJ32" s="72"/>
      <c r="AK32" s="132"/>
      <c r="AL32" s="73">
        <v>91.52</v>
      </c>
      <c r="AM32" s="72">
        <v>1707.49</v>
      </c>
      <c r="AN32" s="132">
        <v>13</v>
      </c>
      <c r="AO32" s="73"/>
      <c r="AP32" s="72"/>
      <c r="AQ32" s="132"/>
      <c r="AR32" s="73"/>
      <c r="AS32" s="72"/>
      <c r="AT32" s="132"/>
      <c r="AU32" s="73"/>
      <c r="AV32" s="72"/>
      <c r="AW32" s="132"/>
      <c r="AX32" s="73"/>
      <c r="AY32" s="72"/>
      <c r="AZ32" s="126"/>
      <c r="BA32" s="73"/>
      <c r="BB32" s="72"/>
      <c r="BC32" s="132"/>
      <c r="BD32" s="73"/>
      <c r="BE32" s="72"/>
      <c r="BF32" s="132"/>
      <c r="BG32" s="133"/>
      <c r="BH32" s="201">
        <v>5</v>
      </c>
      <c r="BI32" s="112">
        <f t="shared" si="6"/>
        <v>273.71000000000004</v>
      </c>
      <c r="BJ32" s="113">
        <f t="shared" si="8"/>
        <v>2482.1714999999995</v>
      </c>
      <c r="BK32" s="113">
        <f t="shared" ref="BK32:BK33" si="9">BN32*0.1</f>
        <v>1654.7809999999999</v>
      </c>
      <c r="BL32" s="114">
        <f>E32+H32+K32+Q32+N32+T32+W32+AL32+AO32+AR32+AU32+AX32+BA32+BD32</f>
        <v>6790.7199999999993</v>
      </c>
      <c r="BM32" s="114">
        <f t="shared" si="4"/>
        <v>9757.09</v>
      </c>
      <c r="BN32" s="195">
        <f t="shared" si="7"/>
        <v>16547.809999999998</v>
      </c>
      <c r="BO32" s="191">
        <f>BJ32+BK32+BN32</f>
        <v>20684.762499999997</v>
      </c>
      <c r="BP32" s="224" t="str">
        <f t="shared" si="3"/>
        <v>18-25</v>
      </c>
      <c r="BQ32" s="183">
        <v>98245</v>
      </c>
      <c r="BR32" s="129"/>
      <c r="BS32" s="129"/>
      <c r="BT32" s="117"/>
    </row>
    <row r="33" spans="1:72" x14ac:dyDescent="0.2">
      <c r="A33" s="71" t="s">
        <v>150</v>
      </c>
      <c r="B33" s="172" t="s">
        <v>128</v>
      </c>
      <c r="C33" s="205" t="s">
        <v>223</v>
      </c>
      <c r="D33" s="103">
        <f t="shared" si="0"/>
        <v>291.14</v>
      </c>
      <c r="E33" s="129">
        <v>2180.9899999999998</v>
      </c>
      <c r="F33" s="125">
        <v>1928.1</v>
      </c>
      <c r="G33" s="126">
        <v>70.400000000000006</v>
      </c>
      <c r="H33" s="129">
        <v>2696</v>
      </c>
      <c r="I33" s="160">
        <v>4242.1499999999996</v>
      </c>
      <c r="J33" s="161">
        <v>87.02</v>
      </c>
      <c r="K33" s="82"/>
      <c r="L33" s="159"/>
      <c r="M33" s="126"/>
      <c r="N33" s="82">
        <v>505.59</v>
      </c>
      <c r="O33" s="72">
        <v>1001.36</v>
      </c>
      <c r="P33" s="126">
        <v>16.32</v>
      </c>
      <c r="Q33" s="73">
        <v>65.540000000000006</v>
      </c>
      <c r="R33" s="72">
        <v>146.26</v>
      </c>
      <c r="S33" s="126">
        <v>6.4</v>
      </c>
      <c r="T33" s="73">
        <v>111.3</v>
      </c>
      <c r="U33" s="72">
        <v>281.64</v>
      </c>
      <c r="V33" s="126">
        <v>21</v>
      </c>
      <c r="W33" s="73">
        <v>218.92</v>
      </c>
      <c r="X33" s="72">
        <v>0</v>
      </c>
      <c r="Y33" s="126">
        <v>77</v>
      </c>
      <c r="Z33" s="117"/>
      <c r="AA33" s="117"/>
      <c r="AB33" s="117"/>
      <c r="AC33" s="117"/>
      <c r="AD33" s="117"/>
      <c r="AE33" s="117"/>
      <c r="AF33" s="117"/>
      <c r="AG33" s="117"/>
      <c r="AH33" s="146"/>
      <c r="AI33" s="117"/>
      <c r="AJ33" s="117"/>
      <c r="AK33" s="146"/>
      <c r="AL33" s="73">
        <v>91.52</v>
      </c>
      <c r="AM33" s="72">
        <v>3679.02</v>
      </c>
      <c r="AN33" s="126">
        <v>13</v>
      </c>
      <c r="AO33" s="73"/>
      <c r="AP33" s="72"/>
      <c r="AQ33" s="126"/>
      <c r="AR33" s="73"/>
      <c r="AS33" s="72"/>
      <c r="AT33" s="126"/>
      <c r="AU33" s="82"/>
      <c r="AV33" s="72"/>
      <c r="AW33" s="126"/>
      <c r="AX33" s="73"/>
      <c r="AY33" s="72"/>
      <c r="AZ33" s="126"/>
      <c r="BA33" s="73"/>
      <c r="BB33" s="72"/>
      <c r="BC33" s="126"/>
      <c r="BD33" s="73"/>
      <c r="BE33" s="72"/>
      <c r="BF33" s="126"/>
      <c r="BG33" s="162"/>
      <c r="BH33" s="186">
        <v>7</v>
      </c>
      <c r="BI33" s="163">
        <f>G33+M33+S33+P33+V33+Y33+AN33+AQ33+AT33+AW33+AZ33+BC33+BF33</f>
        <v>204.12</v>
      </c>
      <c r="BJ33" s="113">
        <f t="shared" si="8"/>
        <v>2572.2584999999999</v>
      </c>
      <c r="BK33" s="113">
        <f t="shared" si="9"/>
        <v>1714.8389999999999</v>
      </c>
      <c r="BL33" s="114">
        <f>E33+H33+K33+Q33+N33+T33+W33+AL33+AO33+AR33+AU33+AX33+BA33+BD33</f>
        <v>5869.8600000000006</v>
      </c>
      <c r="BM33" s="114">
        <f t="shared" si="4"/>
        <v>11278.53</v>
      </c>
      <c r="BN33" s="225">
        <f>BL33+BM33</f>
        <v>17148.39</v>
      </c>
      <c r="BO33" s="191">
        <f>BJ33+BK33+BN33</f>
        <v>21435.487499999999</v>
      </c>
      <c r="BP33" s="224" t="str">
        <f t="shared" si="3"/>
        <v>18-26</v>
      </c>
      <c r="BQ33" s="183">
        <v>98572</v>
      </c>
      <c r="BR33" s="129"/>
      <c r="BS33" s="129"/>
      <c r="BT33" s="117"/>
    </row>
    <row r="34" spans="1:72" ht="13.5" thickBot="1" x14ac:dyDescent="0.25">
      <c r="A34" s="144"/>
      <c r="B34" s="172"/>
      <c r="C34" s="172"/>
      <c r="D34" s="146"/>
      <c r="E34" s="129"/>
      <c r="F34" s="129"/>
      <c r="G34" s="117"/>
      <c r="H34" s="129"/>
      <c r="I34" s="129"/>
      <c r="J34" s="146"/>
      <c r="K34" s="117"/>
      <c r="L34" s="129"/>
      <c r="M34" s="117"/>
      <c r="N34" s="117"/>
      <c r="O34" s="129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46"/>
      <c r="AI34" s="117"/>
      <c r="AJ34" s="117"/>
      <c r="AK34" s="146"/>
      <c r="AL34" s="129"/>
      <c r="AM34" s="129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29"/>
      <c r="BH34" s="182"/>
      <c r="BI34" s="147"/>
      <c r="BJ34" s="134">
        <f>SUM(BJ6:BJ33)</f>
        <v>24005.496500000001</v>
      </c>
      <c r="BK34" s="129">
        <f>SUM(BK6:BK33)</f>
        <v>14470.330999999998</v>
      </c>
      <c r="BL34" s="129"/>
      <c r="BM34" s="129"/>
      <c r="BN34" s="129"/>
      <c r="BO34" s="117"/>
      <c r="BP34" s="117"/>
      <c r="BQ34" s="128"/>
      <c r="BR34" s="129"/>
      <c r="BS34" s="129"/>
      <c r="BT34" s="117"/>
    </row>
    <row r="35" spans="1:72" ht="13.5" thickBot="1" x14ac:dyDescent="0.25">
      <c r="A35" s="148"/>
      <c r="B35" s="149"/>
      <c r="C35" s="149" t="s">
        <v>231</v>
      </c>
      <c r="D35" s="211"/>
      <c r="E35" s="212">
        <f>SUM(E6:E33)</f>
        <v>25671.480000000003</v>
      </c>
      <c r="F35" s="212">
        <f>SUM(F6:F33)</f>
        <v>30496.579999999998</v>
      </c>
      <c r="G35" s="212"/>
      <c r="H35" s="212">
        <f>SUM(H8:H33)</f>
        <v>10881.74</v>
      </c>
      <c r="I35" s="212">
        <f>SUM(I8:I33)</f>
        <v>15088.43</v>
      </c>
      <c r="J35" s="213"/>
      <c r="K35" s="212">
        <f>SUM(K8:K33)</f>
        <v>9207.5499999999993</v>
      </c>
      <c r="L35" s="212">
        <f>SUM(L8:L33)</f>
        <v>34093.69</v>
      </c>
      <c r="M35" s="212"/>
      <c r="N35" s="212">
        <f t="shared" ref="N35:X35" si="10">SUM(N8:N33)</f>
        <v>890.68000000000006</v>
      </c>
      <c r="O35" s="212">
        <f t="shared" si="10"/>
        <v>7818.7599999999993</v>
      </c>
      <c r="P35" s="212"/>
      <c r="Q35" s="212">
        <f t="shared" si="10"/>
        <v>117.32000000000001</v>
      </c>
      <c r="R35" s="212">
        <f t="shared" si="10"/>
        <v>699.92000000000007</v>
      </c>
      <c r="S35" s="212"/>
      <c r="T35" s="212">
        <f t="shared" si="10"/>
        <v>186.06</v>
      </c>
      <c r="U35" s="212">
        <f t="shared" si="10"/>
        <v>703.83999999999992</v>
      </c>
      <c r="V35" s="212"/>
      <c r="W35" s="212">
        <f t="shared" si="10"/>
        <v>4390.3900000000003</v>
      </c>
      <c r="X35" s="212">
        <f t="shared" si="10"/>
        <v>1595.19</v>
      </c>
      <c r="Y35" s="212"/>
      <c r="Z35" s="212"/>
      <c r="AA35" s="212"/>
      <c r="AB35" s="212"/>
      <c r="AC35" s="212"/>
      <c r="AD35" s="212"/>
      <c r="AE35" s="212"/>
      <c r="AF35" s="212"/>
      <c r="AG35" s="212"/>
      <c r="AH35" s="213"/>
      <c r="AI35" s="212"/>
      <c r="AJ35" s="212"/>
      <c r="AK35" s="213"/>
      <c r="AL35" s="212">
        <f t="shared" ref="AL35:AM35" si="11">SUM(AL8:AL33)</f>
        <v>2035.15</v>
      </c>
      <c r="AM35" s="212">
        <f t="shared" si="11"/>
        <v>23191.32</v>
      </c>
      <c r="AN35" s="212"/>
      <c r="AO35" s="212">
        <f t="shared" ref="AO35:AP35" si="12">SUM(AO8:AO33)</f>
        <v>3638.58</v>
      </c>
      <c r="AP35" s="212">
        <f t="shared" si="12"/>
        <v>14555.8</v>
      </c>
      <c r="AQ35" s="212"/>
      <c r="AR35" s="212">
        <f t="shared" ref="AR35:AS35" si="13">SUM(AR8:AR33)</f>
        <v>0</v>
      </c>
      <c r="AS35" s="212">
        <f t="shared" si="13"/>
        <v>0</v>
      </c>
      <c r="AT35" s="212"/>
      <c r="AU35" s="212">
        <f t="shared" ref="AU35:AV35" si="14">SUM(AU8:AU33)</f>
        <v>0</v>
      </c>
      <c r="AV35" s="212">
        <f t="shared" si="14"/>
        <v>0</v>
      </c>
      <c r="AW35" s="212"/>
      <c r="AX35" s="212">
        <f t="shared" ref="AX35:AY35" si="15">SUM(AX8:AX33)</f>
        <v>0</v>
      </c>
      <c r="AY35" s="212">
        <f t="shared" si="15"/>
        <v>0</v>
      </c>
      <c r="AZ35" s="212"/>
      <c r="BA35" s="212">
        <f t="shared" ref="BA35:BB35" si="16">SUM(BA8:BA33)</f>
        <v>664.2</v>
      </c>
      <c r="BB35" s="212">
        <f t="shared" si="16"/>
        <v>9734.5999999999985</v>
      </c>
      <c r="BC35" s="212"/>
      <c r="BD35" s="212">
        <f t="shared" ref="BD35:BE35" si="17">SUM(BD8:BD33)</f>
        <v>0</v>
      </c>
      <c r="BE35" s="212">
        <f t="shared" si="17"/>
        <v>0</v>
      </c>
      <c r="BF35" s="212"/>
      <c r="BG35" s="212">
        <f>SUM(BG8:BG34)</f>
        <v>2320.0100000000002</v>
      </c>
      <c r="BH35" s="214"/>
      <c r="BI35" s="215"/>
      <c r="BJ35" s="216"/>
      <c r="BK35" s="212"/>
      <c r="BL35" s="212"/>
      <c r="BM35" s="212"/>
      <c r="BN35" s="212"/>
      <c r="BO35" s="212"/>
      <c r="BP35" s="212"/>
      <c r="BQ35" s="217"/>
      <c r="BR35" s="129"/>
      <c r="BS35" s="129"/>
      <c r="BT35" s="129"/>
    </row>
    <row r="36" spans="1:72" x14ac:dyDescent="0.2">
      <c r="A36" s="144"/>
      <c r="B36" s="145"/>
      <c r="C36" s="145"/>
      <c r="D36" s="146"/>
      <c r="E36" s="129"/>
      <c r="F36" s="129"/>
      <c r="G36" s="117"/>
      <c r="H36" s="129"/>
      <c r="I36" s="129"/>
      <c r="J36" s="146"/>
      <c r="K36" s="117"/>
      <c r="L36" s="129"/>
      <c r="M36" s="117"/>
      <c r="N36" s="117"/>
      <c r="O36" s="129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46"/>
      <c r="AI36" s="117"/>
      <c r="AJ36" s="117"/>
      <c r="AK36" s="146"/>
      <c r="AL36" s="129"/>
      <c r="AM36" s="129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29"/>
      <c r="BH36" s="182"/>
      <c r="BI36" s="147"/>
      <c r="BJ36" s="150"/>
      <c r="BK36" s="117"/>
      <c r="BL36" s="129"/>
      <c r="BM36" s="129"/>
      <c r="BN36" s="129"/>
      <c r="BO36" s="117"/>
      <c r="BP36" s="117"/>
      <c r="BQ36" s="128"/>
      <c r="BR36" s="129"/>
      <c r="BS36" s="129"/>
      <c r="BT36" s="117"/>
    </row>
    <row r="37" spans="1:72" x14ac:dyDescent="0.2">
      <c r="A37" s="144"/>
      <c r="B37" s="145"/>
      <c r="C37" s="145"/>
      <c r="D37" s="146"/>
      <c r="E37" s="129"/>
      <c r="F37" s="129"/>
      <c r="G37" s="117"/>
      <c r="H37" s="129"/>
      <c r="I37" s="129"/>
      <c r="J37" s="146"/>
      <c r="K37" s="117"/>
      <c r="L37" s="129"/>
      <c r="M37" s="117"/>
      <c r="N37" s="117"/>
      <c r="O37" s="129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46"/>
      <c r="AI37" s="117"/>
      <c r="AJ37" s="117"/>
      <c r="AK37" s="146"/>
      <c r="AL37" s="129"/>
      <c r="AM37" s="129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29"/>
      <c r="BH37" s="182"/>
      <c r="BI37" s="147"/>
      <c r="BJ37" s="150"/>
      <c r="BK37" s="117"/>
      <c r="BL37" s="129"/>
      <c r="BM37" s="129"/>
      <c r="BN37" s="129"/>
      <c r="BO37" s="198"/>
      <c r="BP37" s="218"/>
      <c r="BQ37" s="183"/>
      <c r="BR37" s="129"/>
      <c r="BS37" s="129"/>
      <c r="BT37" s="117"/>
    </row>
    <row r="38" spans="1:72" x14ac:dyDescent="0.2">
      <c r="A38" s="144"/>
      <c r="B38" s="145"/>
      <c r="C38" s="145"/>
      <c r="D38" s="146"/>
      <c r="E38" s="129"/>
      <c r="F38" s="129"/>
      <c r="G38" s="117"/>
      <c r="H38" s="129"/>
      <c r="I38" s="129"/>
      <c r="J38" s="146"/>
      <c r="K38" s="117"/>
      <c r="L38" s="129"/>
      <c r="M38" s="117"/>
      <c r="N38" s="117"/>
      <c r="O38" s="129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46"/>
      <c r="AI38" s="117"/>
      <c r="AJ38" s="117"/>
      <c r="AK38" s="146"/>
      <c r="AL38" s="129"/>
      <c r="AM38" s="129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29"/>
      <c r="BH38" s="182"/>
      <c r="BI38" s="147"/>
      <c r="BJ38" s="150"/>
      <c r="BK38" s="117"/>
      <c r="BL38" s="129"/>
      <c r="BM38" s="129"/>
      <c r="BN38" s="129"/>
      <c r="BO38" s="198"/>
      <c r="BP38" s="218"/>
      <c r="BQ38" s="183"/>
      <c r="BR38" s="129"/>
      <c r="BS38" s="129"/>
      <c r="BT38" s="117"/>
    </row>
    <row r="39" spans="1:72" x14ac:dyDescent="0.2">
      <c r="BO39" s="207"/>
      <c r="BP39" s="207"/>
      <c r="BQ39" s="207"/>
    </row>
    <row r="40" spans="1:72" x14ac:dyDescent="0.2">
      <c r="BO40" s="87"/>
    </row>
    <row r="45" spans="1:72" x14ac:dyDescent="0.2">
      <c r="BP45" s="86" t="s">
        <v>213</v>
      </c>
    </row>
  </sheetData>
  <pageMargins left="0.7" right="0.7" top="0.75" bottom="0.75" header="0.3" footer="0.3"/>
  <pageSetup orientation="portrait" r:id="rId1"/>
  <ignoredErrors>
    <ignoredError sqref="BI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9"/>
  <sheetViews>
    <sheetView zoomScale="80" zoomScaleNormal="80" workbookViewId="0">
      <selection activeCell="N24" sqref="N24"/>
    </sheetView>
  </sheetViews>
  <sheetFormatPr defaultColWidth="10.6640625" defaultRowHeight="12.75" x14ac:dyDescent="0.2"/>
  <cols>
    <col min="1" max="1" width="7.33203125" style="4" bestFit="1" customWidth="1"/>
    <col min="2" max="2" width="7.6640625" style="4" bestFit="1" customWidth="1"/>
    <col min="3" max="3" width="18" style="4" customWidth="1"/>
    <col min="4" max="4" width="12.33203125" style="4" bestFit="1" customWidth="1"/>
    <col min="5" max="5" width="13.33203125" style="4" bestFit="1" customWidth="1"/>
    <col min="6" max="6" width="11.83203125" style="4" bestFit="1" customWidth="1"/>
    <col min="7" max="7" width="21.83203125" style="4" bestFit="1" customWidth="1"/>
    <col min="8" max="8" width="19.33203125" style="4" bestFit="1" customWidth="1"/>
    <col min="9" max="16384" width="10.6640625" style="4"/>
  </cols>
  <sheetData>
    <row r="1" spans="1:8" s="1" customFormat="1" x14ac:dyDescent="0.2">
      <c r="A1" s="231" t="s">
        <v>0</v>
      </c>
      <c r="B1" s="231"/>
      <c r="C1" s="231"/>
      <c r="D1" s="231"/>
      <c r="E1" s="231"/>
      <c r="F1" s="231"/>
      <c r="G1" s="231"/>
      <c r="H1" s="231"/>
    </row>
    <row r="2" spans="1:8" s="1" customFormat="1" x14ac:dyDescent="0.2">
      <c r="A2" s="231" t="s">
        <v>230</v>
      </c>
      <c r="B2" s="231"/>
      <c r="C2" s="231"/>
      <c r="D2" s="231"/>
      <c r="E2" s="231"/>
      <c r="F2" s="231"/>
      <c r="G2" s="231"/>
      <c r="H2" s="231"/>
    </row>
    <row r="3" spans="1:8" s="1" customFormat="1" x14ac:dyDescent="0.2">
      <c r="A3" s="231" t="s">
        <v>32</v>
      </c>
      <c r="B3" s="231"/>
      <c r="C3" s="231"/>
      <c r="D3" s="231"/>
      <c r="E3" s="231"/>
      <c r="F3" s="231"/>
      <c r="G3" s="231"/>
      <c r="H3" s="231"/>
    </row>
    <row r="4" spans="1:8" s="1" customFormat="1" x14ac:dyDescent="0.2">
      <c r="A4" s="231" t="s">
        <v>33</v>
      </c>
      <c r="B4" s="231"/>
      <c r="C4" s="231"/>
      <c r="D4" s="231"/>
      <c r="E4" s="231"/>
      <c r="F4" s="231"/>
      <c r="G4" s="231"/>
      <c r="H4" s="231"/>
    </row>
    <row r="6" spans="1:8" s="2" customFormat="1" x14ac:dyDescent="0.2">
      <c r="C6" s="2" t="s">
        <v>34</v>
      </c>
      <c r="E6" s="2" t="s">
        <v>35</v>
      </c>
      <c r="F6" s="2" t="s">
        <v>52</v>
      </c>
      <c r="G6" s="2" t="s">
        <v>36</v>
      </c>
    </row>
    <row r="7" spans="1:8" s="2" customFormat="1" x14ac:dyDescent="0.2">
      <c r="C7" s="2" t="s">
        <v>37</v>
      </c>
      <c r="D7" s="2" t="s">
        <v>38</v>
      </c>
      <c r="E7" s="2" t="s">
        <v>9</v>
      </c>
      <c r="F7" s="2" t="s">
        <v>53</v>
      </c>
      <c r="G7" s="2" t="s">
        <v>54</v>
      </c>
      <c r="H7" s="2" t="s">
        <v>39</v>
      </c>
    </row>
    <row r="8" spans="1:8" s="2" customFormat="1" x14ac:dyDescent="0.2">
      <c r="C8" s="2" t="s">
        <v>40</v>
      </c>
      <c r="D8" s="2" t="s">
        <v>40</v>
      </c>
      <c r="E8" s="2" t="s">
        <v>37</v>
      </c>
      <c r="F8" s="2" t="s">
        <v>28</v>
      </c>
      <c r="G8" s="2" t="s">
        <v>41</v>
      </c>
      <c r="H8" s="2" t="s">
        <v>42</v>
      </c>
    </row>
    <row r="9" spans="1:8" s="2" customFormat="1" x14ac:dyDescent="0.2">
      <c r="B9" s="3" t="s">
        <v>43</v>
      </c>
      <c r="C9" s="3" t="s">
        <v>44</v>
      </c>
      <c r="D9" s="3" t="s">
        <v>8</v>
      </c>
      <c r="E9" s="3" t="s">
        <v>45</v>
      </c>
      <c r="F9" s="3"/>
      <c r="G9" s="3" t="s">
        <v>46</v>
      </c>
      <c r="H9" s="3" t="s">
        <v>47</v>
      </c>
    </row>
    <row r="10" spans="1:8" x14ac:dyDescent="0.2">
      <c r="A10" s="4">
        <v>2017</v>
      </c>
      <c r="B10" s="4">
        <v>1</v>
      </c>
      <c r="C10" s="5">
        <v>0.50375046186292716</v>
      </c>
      <c r="D10" s="208">
        <v>0.52610000000000001</v>
      </c>
      <c r="E10" s="5">
        <v>0.52610000000000001</v>
      </c>
      <c r="F10" s="209" t="s">
        <v>100</v>
      </c>
      <c r="G10" s="5">
        <v>0.55240500000000003</v>
      </c>
      <c r="H10" s="5">
        <v>0.57544028850000006</v>
      </c>
    </row>
    <row r="11" spans="1:8" x14ac:dyDescent="0.2">
      <c r="A11" s="4">
        <v>2018</v>
      </c>
      <c r="B11" s="4">
        <v>2</v>
      </c>
      <c r="C11" s="5">
        <v>0.48145277252468566</v>
      </c>
      <c r="D11" s="208">
        <v>0.52510000000000001</v>
      </c>
      <c r="E11" s="5">
        <v>1.0512000000000001</v>
      </c>
      <c r="F11" s="209" t="s">
        <v>100</v>
      </c>
      <c r="G11" s="5">
        <v>1.1037600000000003</v>
      </c>
      <c r="H11" s="5">
        <v>0.58663510859891288</v>
      </c>
    </row>
    <row r="12" spans="1:8" x14ac:dyDescent="0.2">
      <c r="A12" s="4">
        <v>2019</v>
      </c>
      <c r="B12" s="4">
        <v>3</v>
      </c>
      <c r="C12" s="5">
        <v>0.4608337288383616</v>
      </c>
      <c r="D12" s="208">
        <v>0.52480000000000004</v>
      </c>
      <c r="E12" s="5">
        <v>1.5760000000000001</v>
      </c>
      <c r="F12" s="209" t="s">
        <v>100</v>
      </c>
      <c r="G12" s="5">
        <v>1.6548</v>
      </c>
      <c r="H12" s="5">
        <v>0.59822974054754463</v>
      </c>
    </row>
    <row r="13" spans="1:8" x14ac:dyDescent="0.2">
      <c r="A13" s="4">
        <v>2020</v>
      </c>
      <c r="B13" s="4">
        <v>4</v>
      </c>
      <c r="C13" s="5">
        <v>0.43893958281012163</v>
      </c>
      <c r="D13" s="208">
        <v>0.52200000000000002</v>
      </c>
      <c r="E13" s="5">
        <v>2.0979999999999999</v>
      </c>
      <c r="F13" s="209" t="s">
        <v>100</v>
      </c>
      <c r="G13" s="5">
        <v>2.2029000000000001</v>
      </c>
      <c r="H13" s="5">
        <v>0.6093103038395391</v>
      </c>
    </row>
    <row r="14" spans="1:8" x14ac:dyDescent="0.2">
      <c r="A14" s="4">
        <v>2021</v>
      </c>
      <c r="B14" s="4">
        <v>5</v>
      </c>
      <c r="C14" s="5">
        <v>0.4316463220726437</v>
      </c>
      <c r="D14" s="208">
        <v>0.53610000000000002</v>
      </c>
      <c r="E14" s="5">
        <v>2.6341000000000001</v>
      </c>
      <c r="F14" s="210" t="s">
        <v>101</v>
      </c>
      <c r="G14" s="5">
        <v>2.8316574999999999</v>
      </c>
      <c r="H14" s="5">
        <v>0.6391077942016965</v>
      </c>
    </row>
    <row r="15" spans="1:8" x14ac:dyDescent="0.2">
      <c r="A15" s="4">
        <v>2022</v>
      </c>
      <c r="B15" s="4">
        <v>6</v>
      </c>
      <c r="C15" s="5">
        <v>0.43266302968283699</v>
      </c>
      <c r="D15" s="208">
        <v>0.56120000000000003</v>
      </c>
      <c r="E15" s="5">
        <v>3.1953</v>
      </c>
      <c r="F15" s="210" t="s">
        <v>101</v>
      </c>
      <c r="G15" s="5">
        <v>3.4349474999999998</v>
      </c>
      <c r="H15" s="5">
        <v>0.65888805718579702</v>
      </c>
    </row>
    <row r="16" spans="1:8" x14ac:dyDescent="0.2">
      <c r="A16" s="4">
        <v>2023</v>
      </c>
      <c r="B16" s="4">
        <v>7</v>
      </c>
      <c r="C16" s="5">
        <v>0.41102835508921054</v>
      </c>
      <c r="D16" s="208">
        <v>0.55669999999999997</v>
      </c>
      <c r="E16" s="5">
        <v>3.7519999999999998</v>
      </c>
      <c r="F16" s="210" t="s">
        <v>101</v>
      </c>
      <c r="G16" s="5">
        <v>4.0333999999999994</v>
      </c>
      <c r="H16" s="5">
        <v>0.67623119327321579</v>
      </c>
    </row>
    <row r="17" spans="1:19" x14ac:dyDescent="0.2">
      <c r="A17" s="4">
        <v>2024</v>
      </c>
      <c r="B17" s="4">
        <v>8</v>
      </c>
      <c r="C17" s="5">
        <v>0.41105121059992716</v>
      </c>
      <c r="D17" s="208">
        <v>0.58140000000000003</v>
      </c>
      <c r="E17" s="5">
        <v>4.3334000000000001</v>
      </c>
      <c r="F17" s="210" t="s">
        <v>101</v>
      </c>
      <c r="G17" s="5">
        <v>4.6584050000000001</v>
      </c>
      <c r="H17" s="5">
        <v>0.6967680181359317</v>
      </c>
    </row>
    <row r="18" spans="1:19" x14ac:dyDescent="0.2">
      <c r="A18" s="4">
        <v>2025</v>
      </c>
      <c r="B18" s="4">
        <v>9</v>
      </c>
      <c r="C18" s="5">
        <v>0.3986779862798866</v>
      </c>
      <c r="D18" s="208">
        <v>0.58889999999999998</v>
      </c>
      <c r="E18" s="5">
        <v>4.9222999999999999</v>
      </c>
      <c r="F18" s="210" t="s">
        <v>101</v>
      </c>
      <c r="G18" s="5">
        <v>5.2914724999999994</v>
      </c>
      <c r="H18" s="5">
        <v>0.71718947736783722</v>
      </c>
    </row>
    <row r="19" spans="1:19" x14ac:dyDescent="0.2">
      <c r="A19" s="4">
        <v>2026</v>
      </c>
      <c r="B19" s="4">
        <v>10</v>
      </c>
      <c r="C19" s="5">
        <v>0.38634251345891696</v>
      </c>
      <c r="D19" s="208">
        <v>0.59599999999999997</v>
      </c>
      <c r="E19" s="5">
        <v>5.5183</v>
      </c>
      <c r="F19" s="209" t="s">
        <v>229</v>
      </c>
      <c r="G19" s="5">
        <v>6.0701300000000007</v>
      </c>
      <c r="H19" s="5">
        <v>0.75473900022038731</v>
      </c>
    </row>
    <row r="20" spans="1:19" x14ac:dyDescent="0.2">
      <c r="A20" s="4">
        <v>2027</v>
      </c>
      <c r="B20" s="4">
        <v>11</v>
      </c>
      <c r="C20" s="5">
        <v>0.38100734329545549</v>
      </c>
      <c r="D20" s="208">
        <v>0.61380000000000001</v>
      </c>
      <c r="E20" s="5">
        <v>6.1321000000000003</v>
      </c>
      <c r="F20" s="209" t="s">
        <v>102</v>
      </c>
      <c r="G20" s="5">
        <v>6.7453100000000008</v>
      </c>
      <c r="H20" s="5">
        <v>0.77704657465540727</v>
      </c>
      <c r="R20" s="178"/>
      <c r="S20" s="177"/>
    </row>
    <row r="21" spans="1:19" x14ac:dyDescent="0.2">
      <c r="A21" s="4">
        <v>2028</v>
      </c>
      <c r="B21" s="4">
        <v>12</v>
      </c>
      <c r="C21" s="5">
        <v>0.38139669124365716</v>
      </c>
      <c r="D21" s="208">
        <v>0.64159999999999995</v>
      </c>
      <c r="E21" s="5">
        <v>6.7736999999999998</v>
      </c>
      <c r="F21" s="209" t="s">
        <v>102</v>
      </c>
      <c r="G21" s="5">
        <v>7.4510700000000005</v>
      </c>
      <c r="H21" s="5">
        <v>0.8017785658413018</v>
      </c>
    </row>
    <row r="22" spans="1:19" x14ac:dyDescent="0.2">
      <c r="A22" s="4">
        <v>2029</v>
      </c>
      <c r="B22" s="4">
        <v>13</v>
      </c>
      <c r="C22" s="5">
        <v>0.36901765181505264</v>
      </c>
      <c r="D22" s="208">
        <v>0.64829999999999999</v>
      </c>
      <c r="E22" s="5">
        <v>7.4219999999999997</v>
      </c>
      <c r="F22" s="209" t="s">
        <v>102</v>
      </c>
      <c r="G22" s="5">
        <v>8.164200000000001</v>
      </c>
      <c r="H22" s="5">
        <v>0.82624123446525555</v>
      </c>
    </row>
    <row r="23" spans="1:19" x14ac:dyDescent="0.2">
      <c r="A23" s="4">
        <v>2030</v>
      </c>
      <c r="B23" s="4">
        <v>14</v>
      </c>
      <c r="C23" s="5">
        <v>0.37060206764692311</v>
      </c>
      <c r="D23" s="208">
        <v>0.67989999999999995</v>
      </c>
      <c r="E23" s="5">
        <v>8.1019000000000005</v>
      </c>
      <c r="F23" s="209" t="s">
        <v>102</v>
      </c>
      <c r="G23" s="5">
        <v>8.912090000000001</v>
      </c>
      <c r="H23" s="5">
        <v>0.85319457683612465</v>
      </c>
    </row>
    <row r="24" spans="1:19" x14ac:dyDescent="0.2">
      <c r="A24" s="4">
        <v>2031</v>
      </c>
      <c r="B24" s="4">
        <v>15</v>
      </c>
      <c r="C24" s="5">
        <v>0.36813039558562383</v>
      </c>
      <c r="D24" s="208">
        <v>0.70530000000000004</v>
      </c>
      <c r="E24" s="5">
        <v>8.8071999999999999</v>
      </c>
      <c r="F24" s="210" t="s">
        <v>103</v>
      </c>
      <c r="G24" s="5">
        <v>9.9080999999999992</v>
      </c>
      <c r="H24" s="5">
        <v>0.90177092312557772</v>
      </c>
    </row>
    <row r="25" spans="1:19" x14ac:dyDescent="0.2">
      <c r="A25" s="4">
        <v>2032</v>
      </c>
      <c r="B25" s="4">
        <v>16</v>
      </c>
      <c r="C25" s="5">
        <v>0.35527945678847395</v>
      </c>
      <c r="D25" s="208">
        <v>0.71079999999999999</v>
      </c>
      <c r="E25" s="5">
        <v>9.5180000000000007</v>
      </c>
      <c r="F25" s="210" t="s">
        <v>103</v>
      </c>
      <c r="G25" s="5">
        <v>10.707750000000001</v>
      </c>
      <c r="H25" s="5">
        <v>0.93050049086035125</v>
      </c>
    </row>
    <row r="26" spans="1:19" x14ac:dyDescent="0.2">
      <c r="A26" s="4">
        <v>2033</v>
      </c>
      <c r="B26" s="4">
        <v>17</v>
      </c>
      <c r="C26" s="5">
        <v>0.35805945415378165</v>
      </c>
      <c r="D26" s="208">
        <v>0.74809999999999999</v>
      </c>
      <c r="E26" s="5">
        <v>10.266100000000002</v>
      </c>
      <c r="F26" s="210" t="s">
        <v>103</v>
      </c>
      <c r="G26" s="5">
        <v>11.549362500000001</v>
      </c>
      <c r="H26" s="5">
        <v>0.96189924352364276</v>
      </c>
    </row>
    <row r="27" spans="1:19" x14ac:dyDescent="0.2">
      <c r="A27" s="4">
        <v>2034</v>
      </c>
      <c r="B27" s="4">
        <v>18</v>
      </c>
      <c r="C27" s="5">
        <v>0.34622149784610223</v>
      </c>
      <c r="D27" s="208">
        <v>0.75549999999999995</v>
      </c>
      <c r="E27" s="5">
        <v>11.021600000000001</v>
      </c>
      <c r="F27" s="210" t="s">
        <v>103</v>
      </c>
      <c r="G27" s="5">
        <v>12.399300000000002</v>
      </c>
      <c r="H27" s="5">
        <v>0.99304357369521867</v>
      </c>
    </row>
    <row r="28" spans="1:19" x14ac:dyDescent="0.2">
      <c r="A28" s="4">
        <v>2035</v>
      </c>
      <c r="B28" s="4">
        <v>19</v>
      </c>
      <c r="C28" s="5">
        <v>0.33853189864122668</v>
      </c>
      <c r="D28" s="208">
        <v>0.77139999999999997</v>
      </c>
      <c r="E28" s="5">
        <v>11.793000000000001</v>
      </c>
      <c r="F28" s="210" t="s">
        <v>103</v>
      </c>
      <c r="G28" s="5">
        <v>13.267125000000002</v>
      </c>
      <c r="H28" s="5">
        <v>1.024781338122388</v>
      </c>
    </row>
    <row r="29" spans="1:19" x14ac:dyDescent="0.2">
      <c r="A29" s="4">
        <v>2036</v>
      </c>
      <c r="B29" s="4">
        <v>20</v>
      </c>
      <c r="C29" s="5">
        <v>0.33335319301782923</v>
      </c>
      <c r="D29" s="208">
        <v>0.79330000000000001</v>
      </c>
      <c r="E29" s="5">
        <v>12.586300000000001</v>
      </c>
      <c r="F29" s="210" t="s">
        <v>103</v>
      </c>
      <c r="G29" s="5">
        <v>14.159587500000001</v>
      </c>
      <c r="H29" s="5">
        <v>1.0576313422902455</v>
      </c>
    </row>
    <row r="30" spans="1:19" x14ac:dyDescent="0.2">
      <c r="A30" s="4">
        <v>2037</v>
      </c>
      <c r="B30" s="4">
        <v>21</v>
      </c>
      <c r="C30" s="5">
        <v>0.32240000000000002</v>
      </c>
      <c r="D30" s="208">
        <v>0.80123299999999997</v>
      </c>
      <c r="E30" s="5">
        <v>13.387533000000001</v>
      </c>
      <c r="F30" s="209" t="s">
        <v>104</v>
      </c>
      <c r="G30" s="5">
        <v>15.39566295</v>
      </c>
      <c r="H30" s="5">
        <v>1.114654015595091</v>
      </c>
    </row>
    <row r="31" spans="1:19" x14ac:dyDescent="0.2">
      <c r="A31" s="4">
        <v>2038</v>
      </c>
      <c r="B31" s="4">
        <v>22</v>
      </c>
      <c r="C31" s="5">
        <v>0.31180000000000002</v>
      </c>
      <c r="D31" s="208">
        <v>0.80924532999999998</v>
      </c>
      <c r="E31" s="5">
        <v>14.196778330000001</v>
      </c>
      <c r="F31" s="209" t="s">
        <v>104</v>
      </c>
      <c r="G31" s="5">
        <v>16.326295079499999</v>
      </c>
      <c r="H31" s="5">
        <v>1.1481932245210069</v>
      </c>
    </row>
    <row r="32" spans="1:19" x14ac:dyDescent="0.2">
      <c r="A32" s="4">
        <v>2039</v>
      </c>
      <c r="B32" s="4">
        <v>23</v>
      </c>
      <c r="C32" s="5">
        <v>0.30159999999999998</v>
      </c>
      <c r="D32" s="208">
        <v>0.81733778329999995</v>
      </c>
      <c r="E32" s="5">
        <v>15.0141161133</v>
      </c>
      <c r="F32" s="209" t="s">
        <v>104</v>
      </c>
      <c r="G32" s="5">
        <v>17.266233530294997</v>
      </c>
      <c r="H32" s="5">
        <v>1.1818185082322867</v>
      </c>
    </row>
    <row r="33" spans="1:8" x14ac:dyDescent="0.2">
      <c r="A33" s="4">
        <v>2040</v>
      </c>
      <c r="B33" s="4">
        <v>24</v>
      </c>
      <c r="C33" s="5">
        <v>0.29170000000000001</v>
      </c>
      <c r="D33" s="208">
        <v>0.82551116113299994</v>
      </c>
      <c r="E33" s="5">
        <v>15.839627274432999</v>
      </c>
      <c r="F33" s="209" t="s">
        <v>104</v>
      </c>
      <c r="G33" s="5">
        <v>18.215571365597949</v>
      </c>
      <c r="H33" s="5">
        <v>1.2155861255765377</v>
      </c>
    </row>
    <row r="34" spans="1:8" x14ac:dyDescent="0.2">
      <c r="A34" s="4">
        <v>2041</v>
      </c>
      <c r="B34" s="4">
        <v>25</v>
      </c>
      <c r="C34" s="5">
        <v>0.28210000000000002</v>
      </c>
      <c r="D34" s="208">
        <v>0.83376627274432991</v>
      </c>
      <c r="E34" s="5">
        <v>16.67339354717733</v>
      </c>
      <c r="F34" s="209" t="s">
        <v>104</v>
      </c>
      <c r="G34" s="5">
        <v>19.174402579253929</v>
      </c>
      <c r="H34" s="5">
        <v>1.2495440426753255</v>
      </c>
    </row>
    <row r="35" spans="1:8" x14ac:dyDescent="0.2">
      <c r="A35" s="4">
        <v>2042</v>
      </c>
      <c r="B35" s="4">
        <v>26</v>
      </c>
      <c r="C35" s="5">
        <v>0.27279999999999999</v>
      </c>
      <c r="D35" s="208">
        <v>0.8421039354717732</v>
      </c>
      <c r="E35" s="5">
        <v>17.515497482649103</v>
      </c>
      <c r="F35" s="210" t="s">
        <v>105</v>
      </c>
      <c r="G35" s="5">
        <v>20.580709542112697</v>
      </c>
      <c r="H35" s="5">
        <v>1.3116407750896693</v>
      </c>
    </row>
    <row r="36" spans="1:8" x14ac:dyDescent="0.2">
      <c r="A36" s="4">
        <v>2043</v>
      </c>
      <c r="B36" s="4">
        <v>27</v>
      </c>
      <c r="C36" s="5">
        <v>0.26390000000000002</v>
      </c>
      <c r="D36" s="208">
        <v>0.85052497482649092</v>
      </c>
      <c r="E36" s="5">
        <v>18.366022457475594</v>
      </c>
      <c r="F36" s="210" t="s">
        <v>105</v>
      </c>
      <c r="G36" s="5">
        <v>21.580076387533826</v>
      </c>
      <c r="H36" s="5">
        <v>1.3468466857508121</v>
      </c>
    </row>
    <row r="37" spans="1:8" x14ac:dyDescent="0.2">
      <c r="A37" s="4">
        <v>2044</v>
      </c>
      <c r="B37" s="4">
        <v>28</v>
      </c>
      <c r="C37" s="5">
        <v>0.25519999999999998</v>
      </c>
      <c r="D37" s="208">
        <v>0.85903022457475586</v>
      </c>
      <c r="E37" s="5">
        <v>19.22505268205035</v>
      </c>
      <c r="F37" s="210" t="s">
        <v>105</v>
      </c>
      <c r="G37" s="5">
        <v>22.589436901409162</v>
      </c>
      <c r="H37" s="5">
        <v>1.3823577684306014</v>
      </c>
    </row>
    <row r="38" spans="1:8" x14ac:dyDescent="0.2">
      <c r="A38" s="4">
        <v>2045</v>
      </c>
      <c r="B38" s="4">
        <v>29</v>
      </c>
      <c r="C38" s="5">
        <v>0.24679999999999999</v>
      </c>
      <c r="D38" s="208">
        <v>0.86762052682050339</v>
      </c>
      <c r="E38" s="5">
        <v>20.092673208870853</v>
      </c>
      <c r="F38" s="210" t="s">
        <v>105</v>
      </c>
      <c r="G38" s="5">
        <v>23.608891020423254</v>
      </c>
      <c r="H38" s="5">
        <v>1.4182022171569741</v>
      </c>
    </row>
    <row r="39" spans="1:8" x14ac:dyDescent="0.2">
      <c r="A39" s="4">
        <v>2046</v>
      </c>
      <c r="B39" s="4">
        <v>30</v>
      </c>
      <c r="C39" s="5">
        <v>0.2387</v>
      </c>
      <c r="D39" s="208">
        <v>0.8762967320887084</v>
      </c>
      <c r="E39" s="5">
        <v>20.96896994095956</v>
      </c>
      <c r="F39" s="210" t="s">
        <v>105</v>
      </c>
      <c r="G39" s="5">
        <v>24.638539680627485</v>
      </c>
      <c r="H39" s="5">
        <v>1.4544050583447914</v>
      </c>
    </row>
    <row r="40" spans="1:8" x14ac:dyDescent="0.2">
      <c r="A40" s="4">
        <v>2047</v>
      </c>
      <c r="B40" s="4">
        <v>31</v>
      </c>
      <c r="C40" s="5">
        <v>0.23089999999999999</v>
      </c>
      <c r="D40" s="208">
        <v>0.8850596994095955</v>
      </c>
      <c r="E40" s="5">
        <v>21.854029640369156</v>
      </c>
      <c r="F40" s="209" t="s">
        <v>106</v>
      </c>
      <c r="G40" s="5">
        <v>26.224835568442987</v>
      </c>
      <c r="H40" s="5">
        <v>1.5227118230476682</v>
      </c>
    </row>
    <row r="41" spans="1:8" x14ac:dyDescent="0.2">
      <c r="A41" s="4">
        <v>2048</v>
      </c>
      <c r="B41" s="4">
        <v>32</v>
      </c>
      <c r="C41" s="5">
        <v>0.2233</v>
      </c>
      <c r="D41" s="208">
        <v>0.89391029640369146</v>
      </c>
      <c r="E41" s="5">
        <v>22.747939936772848</v>
      </c>
      <c r="F41" s="209" t="s">
        <v>106</v>
      </c>
      <c r="G41" s="5">
        <v>27.297527924127419</v>
      </c>
      <c r="H41" s="5">
        <v>1.5604832130204835</v>
      </c>
    </row>
    <row r="42" spans="1:8" x14ac:dyDescent="0.2">
      <c r="A42" s="4">
        <v>2049</v>
      </c>
      <c r="B42" s="4">
        <v>33</v>
      </c>
      <c r="C42" s="5">
        <v>0.216</v>
      </c>
      <c r="D42" s="208">
        <v>0.90284939936772834</v>
      </c>
      <c r="E42" s="5">
        <v>23.650789336140576</v>
      </c>
      <c r="F42" s="209" t="s">
        <v>106</v>
      </c>
      <c r="G42" s="5">
        <v>28.380947203368692</v>
      </c>
      <c r="H42" s="5">
        <v>1.5986826228009072</v>
      </c>
    </row>
    <row r="43" spans="1:8" x14ac:dyDescent="0.2">
      <c r="A43" s="4">
        <v>2050</v>
      </c>
      <c r="B43" s="4">
        <v>34</v>
      </c>
      <c r="C43" s="5">
        <v>0.2089</v>
      </c>
      <c r="D43" s="208">
        <v>0.91187789336140568</v>
      </c>
      <c r="E43" s="5">
        <v>24.562667229501983</v>
      </c>
      <c r="F43" s="209" t="s">
        <v>106</v>
      </c>
      <c r="G43" s="5">
        <v>29.475200675402377</v>
      </c>
      <c r="H43" s="5">
        <v>1.6373269979581346</v>
      </c>
    </row>
    <row r="44" spans="1:8" x14ac:dyDescent="0.2">
      <c r="A44" s="4">
        <v>2051</v>
      </c>
      <c r="B44" s="4">
        <v>35</v>
      </c>
      <c r="C44" s="5">
        <v>0.20200000000000001</v>
      </c>
      <c r="D44" s="208">
        <v>0.92099667229501969</v>
      </c>
      <c r="E44" s="5">
        <v>25.483663901797001</v>
      </c>
      <c r="F44" s="209" t="s">
        <v>106</v>
      </c>
      <c r="G44" s="5">
        <v>30.580396682156401</v>
      </c>
      <c r="H44" s="5">
        <v>1.6764318602736039</v>
      </c>
    </row>
    <row r="45" spans="1:8" x14ac:dyDescent="0.2">
      <c r="A45" s="4">
        <v>2052</v>
      </c>
      <c r="B45" s="4">
        <v>36</v>
      </c>
      <c r="C45" s="5">
        <v>0.19539999999999999</v>
      </c>
      <c r="D45" s="208">
        <v>0.93020663901796985</v>
      </c>
      <c r="E45" s="5">
        <v>26.413870540814973</v>
      </c>
      <c r="F45" s="209" t="s">
        <v>106</v>
      </c>
      <c r="G45" s="5">
        <v>31.696644648977966</v>
      </c>
      <c r="H45" s="5">
        <v>1.7160115052557154</v>
      </c>
    </row>
    <row r="46" spans="1:8" x14ac:dyDescent="0.2">
      <c r="A46" s="4">
        <v>2053</v>
      </c>
      <c r="B46" s="4">
        <v>37</v>
      </c>
      <c r="C46" s="5">
        <v>0.189</v>
      </c>
      <c r="D46" s="208">
        <v>0.93950870540814957</v>
      </c>
      <c r="E46" s="5">
        <v>27.35337924622312</v>
      </c>
      <c r="F46" s="209" t="s">
        <v>106</v>
      </c>
      <c r="G46" s="5">
        <v>32.824055095467742</v>
      </c>
      <c r="H46" s="5">
        <v>1.7560791678868763</v>
      </c>
    </row>
    <row r="47" spans="1:8" x14ac:dyDescent="0.2">
      <c r="A47" s="4">
        <v>2054</v>
      </c>
      <c r="B47" s="4">
        <v>38</v>
      </c>
      <c r="C47" s="5">
        <v>0.18279999999999999</v>
      </c>
      <c r="D47" s="208">
        <v>0.94890379246223111</v>
      </c>
      <c r="E47" s="5">
        <v>28.302283038685353</v>
      </c>
      <c r="F47" s="209" t="s">
        <v>106</v>
      </c>
      <c r="G47" s="5">
        <v>33.96273964642242</v>
      </c>
      <c r="H47" s="5">
        <v>1.7966471624624809</v>
      </c>
    </row>
    <row r="48" spans="1:8" x14ac:dyDescent="0.2">
      <c r="A48" s="4">
        <v>2055</v>
      </c>
      <c r="B48" s="4">
        <v>39</v>
      </c>
      <c r="C48" s="5">
        <v>0.1767</v>
      </c>
      <c r="D48" s="208">
        <v>0.95839283038685341</v>
      </c>
      <c r="E48" s="5">
        <v>29.260675869072205</v>
      </c>
      <c r="F48" s="209" t="s">
        <v>106</v>
      </c>
      <c r="G48" s="5">
        <v>35.112811042886648</v>
      </c>
      <c r="H48" s="5">
        <v>1.8377270011789342</v>
      </c>
    </row>
    <row r="49" spans="1:8" x14ac:dyDescent="0.2">
      <c r="A49" s="4">
        <v>2056</v>
      </c>
      <c r="B49" s="4">
        <v>40</v>
      </c>
      <c r="C49" s="5">
        <v>0.1709</v>
      </c>
      <c r="D49" s="208">
        <v>0.96797675869072197</v>
      </c>
      <c r="E49" s="5">
        <v>30.228652627762926</v>
      </c>
      <c r="F49" s="209" t="s">
        <v>106</v>
      </c>
      <c r="G49" s="5">
        <v>36.274383153315512</v>
      </c>
      <c r="H49" s="5">
        <v>1.8793294951958501</v>
      </c>
    </row>
    <row r="50" spans="1:8" x14ac:dyDescent="0.2">
      <c r="A50" s="4">
        <v>2057</v>
      </c>
      <c r="B50" s="4">
        <v>41</v>
      </c>
      <c r="C50" s="5">
        <v>0.1653</v>
      </c>
      <c r="D50" s="208">
        <v>0.97765652627762922</v>
      </c>
      <c r="E50" s="5">
        <v>31.206309154040557</v>
      </c>
      <c r="F50" s="209" t="s">
        <v>106</v>
      </c>
      <c r="G50" s="5">
        <v>37.447570984848667</v>
      </c>
      <c r="H50" s="5">
        <v>1.9214648411701916</v>
      </c>
    </row>
    <row r="51" spans="1:8" x14ac:dyDescent="0.2">
      <c r="A51" s="4">
        <v>2058</v>
      </c>
      <c r="B51" s="4">
        <v>42</v>
      </c>
      <c r="C51" s="5">
        <v>0.15989999999999999</v>
      </c>
      <c r="D51" s="208">
        <v>0.98743309154040548</v>
      </c>
      <c r="E51" s="5">
        <v>32.193742245580964</v>
      </c>
      <c r="F51" s="209" t="s">
        <v>106</v>
      </c>
      <c r="G51" s="5">
        <v>38.632490694697154</v>
      </c>
      <c r="H51" s="5">
        <v>1.9641426956885901</v>
      </c>
    </row>
    <row r="52" spans="1:8" x14ac:dyDescent="0.2">
      <c r="A52" s="4">
        <v>2059</v>
      </c>
      <c r="B52" s="4">
        <v>43</v>
      </c>
      <c r="C52" s="5">
        <v>0.15459999999999999</v>
      </c>
      <c r="D52" s="208">
        <v>0.9973074224558095</v>
      </c>
      <c r="E52" s="5">
        <v>33.191049668036776</v>
      </c>
      <c r="F52" s="209" t="s">
        <v>106</v>
      </c>
      <c r="G52" s="5">
        <v>39.829259601644132</v>
      </c>
      <c r="H52" s="5">
        <v>2.0073722395722018</v>
      </c>
    </row>
    <row r="53" spans="1:8" x14ac:dyDescent="0.2">
      <c r="A53" s="4">
        <v>2060</v>
      </c>
      <c r="B53" s="4">
        <v>44</v>
      </c>
      <c r="C53" s="5">
        <v>0.14960000000000001</v>
      </c>
      <c r="D53" s="208">
        <v>1.0072804966803677</v>
      </c>
      <c r="E53" s="5">
        <v>34.198330164717142</v>
      </c>
      <c r="F53" s="209" t="s">
        <v>106</v>
      </c>
      <c r="G53" s="5">
        <v>41.037996197660568</v>
      </c>
      <c r="H53" s="5">
        <v>2.0511622336689972</v>
      </c>
    </row>
    <row r="54" spans="1:8" x14ac:dyDescent="0.2">
      <c r="A54" s="4">
        <v>2061</v>
      </c>
      <c r="B54" s="4">
        <v>45</v>
      </c>
      <c r="C54" s="5">
        <v>0.1447</v>
      </c>
      <c r="D54" s="208">
        <v>1.0173533016471714</v>
      </c>
      <c r="E54" s="5">
        <v>35.215683466364311</v>
      </c>
      <c r="F54" s="209" t="s">
        <v>106</v>
      </c>
      <c r="G54" s="5">
        <v>42.258820159637175</v>
      </c>
      <c r="H54" s="5">
        <v>2.0955210674608313</v>
      </c>
    </row>
    <row r="56" spans="1:8" x14ac:dyDescent="0.2">
      <c r="A56" s="6" t="s">
        <v>48</v>
      </c>
      <c r="E56" s="74"/>
      <c r="F56" s="7"/>
      <c r="G56" s="7"/>
    </row>
    <row r="57" spans="1:8" x14ac:dyDescent="0.2">
      <c r="C57" s="4" t="s">
        <v>49</v>
      </c>
      <c r="E57" s="75">
        <v>4.4299999999999999E-2</v>
      </c>
    </row>
    <row r="58" spans="1:8" x14ac:dyDescent="0.2">
      <c r="C58" s="4" t="s">
        <v>73</v>
      </c>
      <c r="E58" s="74">
        <v>4.4299999999999999E-2</v>
      </c>
    </row>
    <row r="59" spans="1:8" x14ac:dyDescent="0.2">
      <c r="C59" s="4" t="s">
        <v>50</v>
      </c>
      <c r="E59" s="74">
        <v>0.02</v>
      </c>
      <c r="F59" s="8"/>
      <c r="G59" s="8"/>
    </row>
  </sheetData>
  <mergeCells count="4">
    <mergeCell ref="A1:H1"/>
    <mergeCell ref="A2:H2"/>
    <mergeCell ref="A3:H3"/>
    <mergeCell ref="A4:H4"/>
  </mergeCells>
  <phoneticPr fontId="21" type="noConversion"/>
  <pageMargins left="0.75" right="0.75" top="1" bottom="1" header="0.5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7AE8A7F4BA414592C9ADFE3B30758A" ma:contentTypeVersion="119" ma:contentTypeDescription="" ma:contentTypeScope="" ma:versionID="6d71e38aecebd031583b8bbff03799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2015-12-01T08:00:00+00:00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152286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19E3A6C-571E-47EA-A3B0-66687697DB53}"/>
</file>

<file path=customXml/itemProps2.xml><?xml version="1.0" encoding="utf-8"?>
<ds:datastoreItem xmlns:ds="http://schemas.openxmlformats.org/officeDocument/2006/customXml" ds:itemID="{F8CEADFB-9387-498B-B1CC-CC8BA1CFC6C0}"/>
</file>

<file path=customXml/itemProps3.xml><?xml version="1.0" encoding="utf-8"?>
<ds:datastoreItem xmlns:ds="http://schemas.openxmlformats.org/officeDocument/2006/customXml" ds:itemID="{586EA39E-BAFD-4690-B2DB-832F0C8055E1}"/>
</file>

<file path=customXml/itemProps4.xml><?xml version="1.0" encoding="utf-8"?>
<ds:datastoreItem xmlns:ds="http://schemas.openxmlformats.org/officeDocument/2006/customXml" ds:itemID="{EE6D2E3F-061B-4D94-A37B-C8552563E5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 FIRST YEAR by MEASURE</vt:lpstr>
      <vt:lpstr>2018 WA LIW ACTUALS</vt:lpstr>
      <vt:lpstr>APP 2885</vt:lpstr>
      <vt:lpstr>AC</vt:lpstr>
      <vt:lpstr>OffsetAnchor</vt:lpstr>
      <vt:lpstr>'TOTAL FIRST YEAR by MEASURE'!Print_Area</vt:lpstr>
    </vt:vector>
  </TitlesOfParts>
  <Company>An MDU Resources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Cowlishaw, Monica</cp:lastModifiedBy>
  <cp:lastPrinted>2019-04-25T16:19:46Z</cp:lastPrinted>
  <dcterms:created xsi:type="dcterms:W3CDTF">2009-05-13T20:27:41Z</dcterms:created>
  <dcterms:modified xsi:type="dcterms:W3CDTF">2019-05-29T03:54:02Z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0x0101006E56B4D1795A2E4DB2F0B01679ED314A00077AE8A7F4BA414592C9ADFE3B30758A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