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20 Natural Gas Schedules 88T, 141D, 141LNG, 141N,  - Compliance Filing (UG-230393)(Eff. 05-10-24)\Workpapers\"/>
    </mc:Choice>
  </mc:AlternateContent>
  <bookViews>
    <workbookView xWindow="0" yWindow="0" windowWidth="22815" windowHeight="10470" tabRatio="850" activeTab="1"/>
  </bookViews>
  <sheets>
    <sheet name="Table of Contents" sheetId="87" r:id="rId1"/>
    <sheet name="Rate Summary" sheetId="69" r:id="rId2"/>
    <sheet name="Rate Design" sheetId="85" r:id="rId3"/>
    <sheet name="Rate Spread (Blocks)" sheetId="75" r:id="rId4"/>
    <sheet name="Rate Spread" sheetId="1" r:id="rId5"/>
    <sheet name="Workpapers--&gt;" sheetId="33" r:id="rId6"/>
    <sheet name="Summary" sheetId="89" r:id="rId7"/>
    <sheet name="RY#2 Therms" sheetId="79" r:id="rId8"/>
    <sheet name="RY#2 Therms By Block" sheetId="86" r:id="rId9"/>
    <sheet name="Exh JDT-5 (JDT-RES_RD)" sheetId="82" r:id="rId10"/>
    <sheet name="Exh JDT-5 (JDT-C&amp;I-RD)" sheetId="83" r:id="rId11"/>
    <sheet name="Exh JDT-5 (JDT-INTRPL-RD)" sheetId="84" r:id="rId12"/>
    <sheet name="C-COS Allocation Factors (PSE)" sheetId="6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localSheetId="6" hidden="1">[1]Inputs!#REF!</definedName>
    <definedName name="__123Graph_A" hidden="1">[1]Inputs!#REF!</definedName>
    <definedName name="__123Graph_B" localSheetId="6" hidden="1">[1]Inputs!#REF!</definedName>
    <definedName name="__123Graph_B" hidden="1">[1]Inputs!#REF!</definedName>
    <definedName name="__123Graph_D" localSheetId="6" hidden="1">[1]Inputs!#REF!</definedName>
    <definedName name="__123Graph_D" hidden="1">[1]Inputs!#REF!</definedName>
    <definedName name="__123Graph_E" hidden="1">[2]Input!$E$22:$E$37</definedName>
    <definedName name="__123Graph_ECURRENT" localSheetId="6" hidden="1">[3]ConsolidatingPL!#REF!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localSheetId="6" hidden="1">{"annual",#N/A,FALSE,"Pro Forma";#N/A,#N/A,FALSE,"Golf Operations"}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localSheetId="6" hidden="1">{"three",#N/A,FALSE,"Capital";"four",#N/A,FALSE,"Capital"}</definedName>
    <definedName name="_gr1" hidden="1">{"three",#N/A,FALSE,"Capital";"four",#N/A,FALSE,"Capital"}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localSheetId="6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localSheetId="6" hidden="1">{"Output-3Column",#N/A,FALSE,"Output"}</definedName>
    <definedName name="_wr1" hidden="1">{"Output-3Column",#N/A,FALSE,"Output"}</definedName>
    <definedName name="_wrn1" localSheetId="6" hidden="1">{"Inflation-BaseYear",#N/A,FALSE,"Inputs"}</definedName>
    <definedName name="_wrn1" hidden="1">{"Inflation-BaseYear",#N/A,FALSE,"Inputs"}</definedName>
    <definedName name="a" localSheetId="6" hidden="1">{"Print_Detail",#N/A,FALSE,"Redemption_Maturity Extract"}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localSheetId="6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localSheetId="6" hidden="1">{"One",#N/A,FALSE,"CClub";"Two",#N/A,FALSE,"CClub";"Three",#N/A,FALSE,"CClub";"Four",#N/A,FALSE,"CClub";"Five",#N/A,FALSE,"CClub"}</definedName>
    <definedName name="b" hidden="1">{"One",#N/A,FALSE,"CClub";"Two",#N/A,FALSE,"CClub";"Three",#N/A,FALSE,"CClub";"Four",#N/A,FALSE,"CClub";"Five",#N/A,FALSE,"CClub"}</definedName>
    <definedName name="bi" localSheetId="6" hidden="1">{#N/A,#N/A,FALSE,"BidCo Assumptions";#N/A,#N/A,FALSE,"Credit Stats";#N/A,#N/A,FALSE,"Bidco Summary";#N/A,#N/A,FALSE,"BIDCO Consolidated"}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localSheetId="6" hidden="1">{"annual",#N/A,FALSE,"Pro Forma";#N/A,#N/A,FALSE,"Golf Operations"}</definedName>
    <definedName name="cd" hidden="1">{"annual",#N/A,FALSE,"Pro Forma";#N/A,#N/A,FALSE,"Golf Operations"}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6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wvu.annual." localSheetId="6" hidden="1">#REF!,#REF!,#REF!,#REF!,#REF!,#REF!,#REF!,#REF!,#REF!,#REF!,#REF!,#REF!,#REF!,#REF!,#REF!,#REF!,#REF!,#REF!,#REF!,#REF!,#REF!,#REF!,#REF!,#REF!</definedName>
    <definedName name="Cwvu.annual." hidden="1">#REF!,#REF!,#REF!,#REF!,#REF!,#REF!,#REF!,#REF!,#REF!,#REF!,#REF!,#REF!,#REF!,#REF!,#REF!,#REF!,#REF!,#REF!,#REF!,#REF!,#REF!,#REF!,#REF!,#REF!</definedName>
    <definedName name="Cwvu.annual._.hotel." localSheetId="6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localSheetId="6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localSheetId="6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localSheetId="6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localSheetId="6" hidden="1">{"Print_Detail",#N/A,FALSE,"Redemption_Maturity Extract"}</definedName>
    <definedName name="dd" hidden="1">{"Print_Detail",#N/A,FALSE,"Redemption_Maturity Extract"}</definedName>
    <definedName name="ddd" localSheetId="6" hidden="1">{"Full",#N/A,FALSE,"Sec MTN B Summary"}</definedName>
    <definedName name="ddd" hidden="1">{"Full",#N/A,FALSE,"Sec MTN B Summary"}</definedName>
    <definedName name="dddd" localSheetId="6" hidden="1">{"RedPrem_InitRed View",#N/A,FALSE,"Sec MTN B Summary"}</definedName>
    <definedName name="dddd" hidden="1">{"RedPrem_InitRed View",#N/A,FALSE,"Sec MTN B Summary"}</definedName>
    <definedName name="dddddd" localSheetId="6" hidden="1">{"Pivot1",#N/A,FALSE,"Redemption_Maturity Extract"}</definedName>
    <definedName name="dddddd" hidden="1">{"Pivot1",#N/A,FALSE,"Redemption_Maturity Extract"}</definedName>
    <definedName name="dddddddd" localSheetId="6" hidden="1">{"Pivot2",#N/A,FALSE,"Redemption_Maturity Extract"}</definedName>
    <definedName name="dddddddd" hidden="1">{"Pivot2",#N/A,FALSE,"Redemption_Maturity Extract"}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DUDE" hidden="1">#REF!</definedName>
    <definedName name="enrgy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localSheetId="6" hidden="1">{#N/A,#N/A,FALSE,"Summ";#N/A,#N/A,FALSE,"General"}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localSheetId="6" hidden="1">{#N/A,#N/A,FALSE,"Summ";#N/A,#N/A,FALSE,"General"}</definedName>
    <definedName name="ex" hidden="1">{#N/A,#N/A,FALSE,"Summ";#N/A,#N/A,FALSE,"General"}</definedName>
    <definedName name="fffff" localSheetId="6" hidden="1">{"ALL",#N/A,FALSE,"A"}</definedName>
    <definedName name="fffff" hidden="1">{"ALL",#N/A,FALSE,"A"}</definedName>
    <definedName name="foo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localSheetId="6" hidden="1">{"ALL",#N/A,FALSE,"A"}</definedName>
    <definedName name="fsdfsad" hidden="1">{"ALL",#N/A,FALSE,"A"}</definedName>
    <definedName name="gr" localSheetId="6" hidden="1">{"three",#N/A,FALSE,"Capital";"four",#N/A,FALSE,"Capital"}</definedName>
    <definedName name="gr" hidden="1">{"three",#N/A,FALSE,"Capital";"four",#N/A,FALSE,"Capital"}</definedName>
    <definedName name="help" localSheetId="6" hidden="1">{"ALL",#N/A,FALSE,"A"}</definedName>
    <definedName name="help" hidden="1">{"ALL",#N/A,FALSE,"A"}</definedName>
    <definedName name="HROptim" localSheetId="6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localSheetId="6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localSheetId="6" hidden="1">{#N/A,#N/A,FALSE,"Sheet5"}</definedName>
    <definedName name="JIM" hidden="1">{#N/A,#N/A,FALSE,"Sheet5"}</definedName>
    <definedName name="June" localSheetId="6" hidden="1">{"three",#N/A,FALSE,"Capital";"four",#N/A,FALSE,"Capital"}</definedName>
    <definedName name="June" hidden="1">{"three",#N/A,FALSE,"Capital";"four",#N/A,FALSE,"Capital"}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localSheetId="6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6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6" hidden="1">{#N/A,#N/A,FALSE,"Summ";#N/A,#N/A,FALSE,"General"}</definedName>
    <definedName name="new" hidden="1">{#N/A,#N/A,FALSE,"Summ";#N/A,#N/A,FALSE,"General"}</definedName>
    <definedName name="OHSch10YR" localSheetId="6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6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6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localSheetId="6" hidden="1">{#N/A,#N/A,FALSE,"Sheet5"}</definedName>
    <definedName name="PPPPPPPPPPPPPPPP" hidden="1">{#N/A,#N/A,FALSE,"Sheet5"}</definedName>
    <definedName name="PricingInfo" hidden="1">[6]Inputs!#REF!</definedName>
    <definedName name="_xlnm.Print_Area" localSheetId="2">'Rate Design'!$A$1:$G$36</definedName>
    <definedName name="_xlnm.Print_Area" localSheetId="4">'Rate Spread'!$A$1:$E$22</definedName>
    <definedName name="_xlnm.Print_Area" localSheetId="3">'Rate Spread (Blocks)'!$A$1:$I$36</definedName>
    <definedName name="_xlnm.Print_Area" localSheetId="7">'RY#2 Therms'!$A$1:$N$53</definedName>
    <definedName name="_xlnm.Print_Area" localSheetId="8">'RY#2 Therms By Block'!$A$1:$N$131</definedName>
    <definedName name="_xlnm.Print_Titles" localSheetId="12">'C-COS Allocation Factors (PSE)'!$D:$D,'C-COS Allocation Factors (PSE)'!$1:$4</definedName>
    <definedName name="_xlnm.Print_Titles" localSheetId="10">'Exh JDT-5 (JDT-C&amp;I-RD)'!$1:$8</definedName>
    <definedName name="_xlnm.Print_Titles" localSheetId="11">'Exh JDT-5 (JDT-INTRPL-RD)'!$1:$8</definedName>
    <definedName name="_xlnm.Print_Titles" localSheetId="1">'Rate Summary'!$A:$C</definedName>
    <definedName name="_xlnm.Print_Titles" localSheetId="8">'RY#2 Therms By Block'!$1:$7</definedName>
    <definedName name="retail" localSheetId="6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ippw" localSheetId="6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localSheetId="6" hidden="1">{"YTD-Total",#N/A,FALSE,"Provision"}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localSheetId="6" hidden="1">{"ALL",#N/A,FALSE,"A"}</definedName>
    <definedName name="trth" hidden="1">{"ALL",#N/A,FALSE,"A"}</definedName>
    <definedName name="u" localSheetId="6" hidden="1">{#N/A,#N/A,FALSE,"Summ";#N/A,#N/A,FALSE,"General"}</definedName>
    <definedName name="u" hidden="1">{#N/A,#N/A,FALSE,"Summ";#N/A,#N/A,FALSE,"General"}</definedName>
    <definedName name="vcdv" hidden="1">#REF!</definedName>
    <definedName name="w" hidden="1">[9]Inputs!#REF!</definedName>
    <definedName name="wr" localSheetId="6" hidden="1">{"Output-3Column",#N/A,FALSE,"Output"}</definedName>
    <definedName name="wr" hidden="1">{"Output-3Column",#N/A,FALSE,"Output"}</definedName>
    <definedName name="wrn" localSheetId="6" hidden="1">{"Inflation-BaseYear",#N/A,FALSE,"Inputs"}</definedName>
    <definedName name="wrn" hidden="1">{"Inflation-BaseYear",#N/A,FALSE,"Inputs"}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localSheetId="6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6" hidden="1">{"Page 3.4.1",#N/A,FALSE,"Totals";"Page 3.4.2",#N/A,FALSE,"Totals"}</definedName>
    <definedName name="wrn.Adj._.Back_Up." hidden="1">{"Page 3.4.1",#N/A,FALSE,"Totals";"Page 3.4.2",#N/A,FALSE,"Totals"}</definedName>
    <definedName name="wrn.ALL." localSheetId="6" hidden="1">{"ALL",#N/A,FALSE,"A"}</definedName>
    <definedName name="wrn.ALL." hidden="1">{"ALL",#N/A,FALSE,"A"}</definedName>
    <definedName name="wrn.All._.BSs._.and._.JEs." localSheetId="6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localSheetId="6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6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6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localSheetId="6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annual." localSheetId="6" hidden="1">{"annual",#N/A,FALSE,"Pro Forma"}</definedName>
    <definedName name="wrn.annual." hidden="1">{"annual",#N/A,FALSE,"Pro Forma"}</definedName>
    <definedName name="wrn.Annual._.Detail." localSheetId="6" hidden="1">{"annualsum",#N/A,FALSE,"Cost Summary";"annual1",#N/A,FALSE,"Phase_1";"annual2",#N/A,FALSE,"Phase_2";"annual3",#N/A,FALSE,"Phase_3";"annual4",#N/A,FALSE,"Phase_4"}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localSheetId="6" hidden="1">{"a_dev",#N/A,FALSE,"Golf Development";"a_memstats",#N/A,FALSE,"Golf Development";"a_opstats",#N/A,FALSE,"Golf Development";"a_rev",#N/A,FALSE,"Golf Development";"a_return",#N/A,FALSE,"Golf Development"}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localSheetId="6" hidden="1">{"annual hotel",#N/A,FALSE,"Hotel Development"}</definedName>
    <definedName name="wrn.Annual._.Hotel." hidden="1">{"annual hotel",#N/A,FALSE,"Hotel Development"}</definedName>
    <definedName name="wrn.Annual._.Land._.Sales." localSheetId="6" hidden="1">{"annual",#N/A,FALSE,"Land Sales"}</definedName>
    <definedName name="wrn.Annual._.Land._.Sales." hidden="1">{"annual",#N/A,FALSE,"Land Sales"}</definedName>
    <definedName name="wrn.Annual._.Report." localSheetId="6" hidden="1">{"annual",#N/A,FALSE,"Pro Forma";#N/A,#N/A,FALSE,"Golf Operations"}</definedName>
    <definedName name="wrn.Annual._.Report." hidden="1">{"annual",#N/A,FALSE,"Pro Forma";#N/A,#N/A,FALSE,"Golf Operations"}</definedName>
    <definedName name="wrn.Annual._.Report._.no._.releases." localSheetId="6" hidden="1">{"a_sales",#N/A,FALSE,"Summary";"a_debt",#N/A,FALSE,"Summary";"a_cash",#N/A,FALSE,"Summary";"a_accrual",#N/A,FALSE,"Summary"}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localSheetId="6" hidden="1">{"a_sales",#N/A,FALSE,"Summary";"a_debt",#N/A,FALSE,"Summary";"a_releases",#N/A,FALSE,"Summary";"a_cash",#N/A,FALSE,"Summary";"a_accrual",#N/A,FALSE,"Summary"}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localSheetId="6" hidden="1">{"ISP1Y5",#N/A,TRUE,"Template";"ISP2Y5",#N/A,TRUE,"Template";"BSY5",#N/A,TRUE,"Template";"ICFY5",#N/A,TRUE,"Template";"TPY5",#N/A,TRUE,"Template";"CtrlY5",#N/A,TRUE,"Template"}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localSheetId="6" hidden="1">{"ASSETS",#N/A,FALSE,"Assets"}</definedName>
    <definedName name="wrn.Assets." hidden="1">{"ASSETS",#N/A,FALSE,"Assets"}</definedName>
    <definedName name="wrn.ASSOC_CO." localSheetId="6" hidden="1">{"ASSC_CO",#N/A,FALSE,"A"}</definedName>
    <definedName name="wrn.ASSOC_CO." hidden="1">{"ASSC_CO",#N/A,FALSE,"A"}</definedName>
    <definedName name="wrn.BidCo." localSheetId="6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S." localSheetId="6" hidden="1">{"BS",#N/A,FALSE,"A"}</definedName>
    <definedName name="wrn.BS." hidden="1">{"BS",#N/A,FALSE,"A"}</definedName>
    <definedName name="wrn.BUS._.RPT." localSheetId="6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localSheetId="6" hidden="1">{#N/A,#N/A,FALSE,"Sheet5"}</definedName>
    <definedName name="wrn.CASH." hidden="1">{#N/A,#N/A,FALSE,"Sheet5"}</definedName>
    <definedName name="wrn.Cash._.and._.Accrual." localSheetId="6" hidden="1">{"a_cash",#N/A,FALSE,"Summary";"a_accrual",#N/A,FALSE,"Summary"}</definedName>
    <definedName name="wrn.Cash._.and._.Accrual." hidden="1">{"a_cash",#N/A,FALSE,"Summary";"a_accrual",#N/A,FALSE,"Summary"}</definedName>
    <definedName name="wrn.Combined._.YTD." localSheetId="6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localSheetId="6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6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urrent._.Estimate." localSheetId="6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CF._.Valuation." localSheetId="6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etail." localSheetId="6" hidden="1">{"Print_Detail",#N/A,FALSE,"Redemption_Maturity Extract"}</definedName>
    <definedName name="wrn.Detail." hidden="1">{"Print_Detail",#N/A,FALSE,"Redemption_Maturity Extract"}</definedName>
    <definedName name="wrn.Diane._.s._.Version." localSheetId="6" hidden="1">{"Full",#N/A,FALSE,"Sec MTN B Summary"}</definedName>
    <definedName name="wrn.Diane._.s._.Version." hidden="1">{"Full",#N/A,FALSE,"Sec MTN B Summary"}</definedName>
    <definedName name="wrn.Distribution._.Version." localSheetId="6" hidden="1">{"RedPrem_InitRed View",#N/A,FALSE,"Sec MTN B Summary"}</definedName>
    <definedName name="wrn.Distribution._.Version." hidden="1">{"RedPrem_InitRed View",#N/A,FALSE,"Sec MTN B Summary"}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localSheetId="6" hidden="1">{"FCB_ALL",#N/A,FALSE,"FCB"}</definedName>
    <definedName name="wrn.FCB." hidden="1">{"FCB_ALL",#N/A,FALSE,"FCB"}</definedName>
    <definedName name="wrn.fcb2" localSheetId="6" hidden="1">{"FCB_ALL",#N/A,FALSE,"FCB"}</definedName>
    <definedName name="wrn.fcb2" hidden="1">{"FCB_ALL",#N/A,FALSE,"FCB"}</definedName>
    <definedName name="wrn.Financials." localSheetId="6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ve._.Year._.Test." localSheetId="6" hidden="1">{"Five Year Plan",#N/A,TRUE,"Monthly Summary-IIIXIILP";"Five Year Plan",#N/A,TRUE,"Cash Flow"}</definedName>
    <definedName name="wrn.Five._.Year._.Test." hidden="1">{"Five Year Plan",#N/A,TRUE,"Monthly Summary-IIIXIILP";"Five Year Plan",#N/A,TRUE,"Cash Flow"}</definedName>
    <definedName name="wrn.full._.report." localSheetId="6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localSheetId="6" hidden="1">{"FullView",#N/A,FALSE,"Consltd-For contngcy"}</definedName>
    <definedName name="wrn.Full._.View." hidden="1">{"FullView",#N/A,FALSE,"Consltd-For contngcy"}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GLReport." localSheetId="6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localSheetId="6" hidden="1">{"three",#N/A,FALSE,"Capital";"four",#N/A,FALSE,"Capital"}</definedName>
    <definedName name="wrn.greg." hidden="1">{"three",#N/A,FALSE,"Capital";"four",#N/A,FALSE,"Capital"}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II._.X._.Co._.Five._.Year._.Plan." localSheetId="6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localSheetId="6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localSheetId="6" hidden="1">{"IIIXCo FY 04 Plan",#N/A,FALSE,"Monthly Summary-IIIXIILP"}</definedName>
    <definedName name="wrn.IIIXCo._.FY._.2004._.Plan." hidden="1">{"IIIXCo FY 04 Plan",#N/A,FALSE,"Monthly Summary-IIIXIILP"}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Inputs." localSheetId="6" hidden="1">{"Inflation-BaseYear",#N/A,FALSE,"Inputs"}</definedName>
    <definedName name="wrn.Inputs." hidden="1">{"Inflation-BaseYear",#N/A,FALSE,"Inputs"}</definedName>
    <definedName name="wrn.Invested._.Capital." localSheetId="6" hidden="1">{#N/A,#N/A,FALSE,"Invested Capital-Total";#N/A,#N/A,FALSE,"Invested Capital-SEI";#N/A,#N/A,FALSE,"Invested Capital-Utah";#N/A,#N/A,FALSE,"Invested Capital-Raton"}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localSheetId="6" hidden="1">{"LIAB",#N/A,FALSE,"Liab"}</definedName>
    <definedName name="wrn.Liab." hidden="1">{"LIAB",#N/A,FALSE,"Liab"}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onthly_Yr1." localSheetId="6" hidden="1">{"ISP1Y1",#N/A,TRUE,"Template";"ISP2Y1",#N/A,TRUE,"Template";"BSY1",#N/A,TRUE,"Template";"ICFY1",#N/A,TRUE,"Template";"TPY1",#N/A,TRUE,"Template";"CtrlY1",#N/A,TRUE,"Template"}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localSheetId="6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localSheetId="6" hidden="1">{"ISP1Y2",#N/A,TRUE,"Template";"ISP2Y2",#N/A,TRUE,"Template";"BSY2",#N/A,TRUE,"Template";"ICFY2",#N/A,TRUE,"Template";"TPY2",#N/A,TRUE,"Template";"CtrlY2",#N/A,TRUE,"Template"}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localSheetId="6" hidden="1">{"NW",#N/A,FALSE,"STMT"}</definedName>
    <definedName name="wrn.NetWorth." hidden="1">{"NW",#N/A,FALSE,"STMT"}</definedName>
    <definedName name="wrn.Open._.Issues._.Only." localSheetId="6" hidden="1">{"Open issues Only",#N/A,FALSE,"TIMELINE"}</definedName>
    <definedName name="wrn.Open._.Issues._.Only." hidden="1">{"Open issues Only",#N/A,FALSE,"TIMELINE"}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localSheetId="6" hidden="1">{"Output-3Column",#N/A,FALSE,"Output"}</definedName>
    <definedName name="wrn.Output3Column." hidden="1">{"Output-3Column",#N/A,FALSE,"Output"}</definedName>
    <definedName name="wrn.OutputAll." localSheetId="6" hidden="1">{"Output-All",#N/A,FALSE,"Output"}</definedName>
    <definedName name="wrn.OutputAll." hidden="1">{"Output-All",#N/A,FALSE,"Output"}</definedName>
    <definedName name="wrn.OutputBaseYear." localSheetId="6" hidden="1">{"Output-BaseYear",#N/A,FALSE,"Output"}</definedName>
    <definedName name="wrn.OutputBaseYear." hidden="1">{"Output-BaseYear",#N/A,FALSE,"Output"}</definedName>
    <definedName name="wrn.OutputMin." localSheetId="6" hidden="1">{"Output-Min",#N/A,FALSE,"Output"}</definedName>
    <definedName name="wrn.OutputMin." hidden="1">{"Output-Min",#N/A,FALSE,"Output"}</definedName>
    <definedName name="wrn.OutputPercent." localSheetId="6" hidden="1">{"Output%",#N/A,FALSE,"Output"}</definedName>
    <definedName name="wrn.OutputPercent." hidden="1">{"Output%",#N/A,FALSE,"Output"}</definedName>
    <definedName name="wrn.pages.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6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d." localSheetId="6" hidden="1">{"Pfd",#N/A,FALSE,"Pfd"}</definedName>
    <definedName name="wrn.Pfd." hidden="1">{"Pfd",#N/A,FALSE,"Pfd"}</definedName>
    <definedName name="wrn.PFSreconview." localSheetId="6" hidden="1">{"PFS recon view",#N/A,FALSE,"Hyperion Proof"}</definedName>
    <definedName name="wrn.PFSreconview." hidden="1">{"PFS recon view",#N/A,FALSE,"Hyperion Proof"}</definedName>
    <definedName name="wrn.PGHCreconview." localSheetId="6" hidden="1">{"PGHC recon view",#N/A,FALSE,"Hyperion Proof"}</definedName>
    <definedName name="wrn.PGHCreconview." hidden="1">{"PGHC recon view",#N/A,FALSE,"Hyperion Proof"}</definedName>
    <definedName name="wrn.PHI._.all._.other._.months." localSheetId="6" hidden="1">{#N/A,#N/A,FALSE,"PHI MTD";#N/A,#N/A,FALSE,"PHI YTD"}</definedName>
    <definedName name="wrn.PHI._.all._.other._.months." hidden="1">{#N/A,#N/A,FALSE,"PHI MTD";#N/A,#N/A,FALSE,"PHI YTD"}</definedName>
    <definedName name="wrn.PHI._.only." localSheetId="6" hidden="1">{#N/A,#N/A,FALSE,"PHI"}</definedName>
    <definedName name="wrn.PHI._.only." hidden="1">{#N/A,#N/A,FALSE,"PHI"}</definedName>
    <definedName name="wrn.PHI._.Sept._.Dec._.March." localSheetId="6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ivot1." localSheetId="6" hidden="1">{"Pivot1",#N/A,FALSE,"Redemption_Maturity Extract"}</definedName>
    <definedName name="wrn.Pivot1." hidden="1">{"Pivot1",#N/A,FALSE,"Redemption_Maturity Extract"}</definedName>
    <definedName name="wrn.Pivot2." localSheetId="6" hidden="1">{"Pivot2",#N/A,FALSE,"Redemption_Maturity Extract"}</definedName>
    <definedName name="wrn.Pivot2." hidden="1">{"Pivot2",#N/A,FALSE,"Redemption_Maturity Extract"}</definedName>
    <definedName name="wrn.Plan._.2004." localSheetId="6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localSheetId="6" hidden="1">{"PPM Co Code View",#N/A,FALSE,"Comp Codes"}</definedName>
    <definedName name="wrn.PPMCoCodeView." hidden="1">{"PPM Co Code View",#N/A,FALSE,"Comp Codes"}</definedName>
    <definedName name="wrn.PPMreconview." localSheetId="6" hidden="1">{"PPM Recon View",#N/A,FALSE,"Hyperion Proof"}</definedName>
    <definedName name="wrn.PPMreconview." hidden="1">{"PPM Recon View",#N/A,FALSE,"Hyperion Proof"}</definedName>
    <definedName name="wrn.PrintAll." localSheetId="6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6" hidden="1">{"Electric Only",#N/A,FALSE,"Hyperion Proof"}</definedName>
    <definedName name="wrn.ProofElectricOnly." hidden="1">{"Electric Only",#N/A,FALSE,"Hyperion Proof"}</definedName>
    <definedName name="wrn.ProofTotal." localSheetId="6" hidden="1">{"Proof Total",#N/A,FALSE,"Hyperion Proof"}</definedName>
    <definedName name="wrn.ProofTotal." hidden="1">{"Proof Total",#N/A,FALSE,"Hyperion Proof"}</definedName>
    <definedName name="wrn.quarterly." localSheetId="6" hidden="1">{"quarterly",#N/A,FALSE,"Pro Forma"}</definedName>
    <definedName name="wrn.quarterly." hidden="1">{"quarterly",#N/A,FALSE,"Pro Forma"}</definedName>
    <definedName name="wrn.Reformat._.only." localSheetId="6" hidden="1">{#N/A,#N/A,FALSE,"Dec 1999 mapping"}</definedName>
    <definedName name="wrn.Reformat._.only." hidden="1">{#N/A,#N/A,FALSE,"Dec 1999 mapping"}</definedName>
    <definedName name="wrn.Releases._.Cash._.Accrual." localSheetId="6" hidden="1">{"a_releases",#N/A,FALSE,"Summary";"a_cash",#N/A,FALSE,"Summary";"a_accrual",#N/A,FALSE,"Summary"}</definedName>
    <definedName name="wrn.Releases._.Cash._.Accrual." hidden="1">{"a_releases",#N/A,FALSE,"Summary";"a_cash",#N/A,FALSE,"Summary";"a_accrual",#N/A,FALSE,"Summary"}</definedName>
    <definedName name="wrn.rpt96." localSheetId="6" hidden="1">{"rmrev1",#N/A,FALSE,"Forecast96";"rmrev2",#N/A,FALSE,"Forecast96";"rmrev3",#N/A,FALSE,"Forecast96"}</definedName>
    <definedName name="wrn.rpt96." hidden="1">{"rmrev1",#N/A,FALSE,"Forecast96";"rmrev2",#N/A,FALSE,"Forecast96";"rmrev3",#N/A,FALSE,"Forecast96"}</definedName>
    <definedName name="wrn.sales." localSheetId="6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_.and._.Debt." localSheetId="6" hidden="1">{"a_sales",#N/A,FALSE,"Summary";"a_debt",#N/A,FALSE,"Summary"}</definedName>
    <definedName name="wrn.Sales._.and._.Debt." hidden="1">{"a_sales",#N/A,FALSE,"Summary";"a_debt",#N/A,FALSE,"Summary"}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localSheetId="6" hidden="1">{"SCHED_B&amp;C",#N/A,FALSE,"A"}</definedName>
    <definedName name="wrn.SCHED._.BC." hidden="1">{"SCHED_B&amp;C",#N/A,FALSE,"A"}</definedName>
    <definedName name="wrn.SCHED._.DE." localSheetId="6" hidden="1">{"SCHED_D&amp;E",#N/A,FALSE,"A"}</definedName>
    <definedName name="wrn.SCHED._.DE." hidden="1">{"SCHED_D&amp;E",#N/A,FALSE,"A"}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ept._.Dec._.March._.I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localSheetId="6" hidden="1">{"cash flow",#N/A,FALSE,"Shared Costs";"allocations",#N/A,FALSE,"Shared Costs"}</definedName>
    <definedName name="wrn.Shared._.Costs." hidden="1">{"cash flow",#N/A,FALSE,"Shared Costs";"allocations",#N/A,FALSE,"Shared Costs"}</definedName>
    <definedName name="wrn.SHEDA." localSheetId="6" hidden="1">{"SCHED_A",#N/A,FALSE,"A"}</definedName>
    <definedName name="wrn.SHEDA." hidden="1">{"SCHED_A",#N/A,FALSE,"A"}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TAND_ALONE_BOTH." localSheetId="6" hidden="1">{"FCB_ALL",#N/A,FALSE,"FCB";"GREY_ALL",#N/A,FALSE,"GREY"}</definedName>
    <definedName name="wrn.STAND_ALONE_BOTH." hidden="1">{"FCB_ALL",#N/A,FALSE,"FCB";"GREY_ALL",#N/A,FALSE,"GREY"}</definedName>
    <definedName name="wrn.Standard." localSheetId="6" hidden="1">{"YTD-Total",#N/A,FALSE,"Provision"}</definedName>
    <definedName name="wrn.Standard." hidden="1">{"YTD-Total",#N/A,FALSE,"Provision"}</definedName>
    <definedName name="wrn.Standard._.NonUtility._.Only." localSheetId="6" hidden="1">{"YTD-NonUtility",#N/A,FALSE,"Prov NonUtility"}</definedName>
    <definedName name="wrn.Standard._.NonUtility._.Only." hidden="1">{"YTD-NonUtility",#N/A,FALSE,"Prov NonUtility"}</definedName>
    <definedName name="wrn.Standard._.Utility._.Only." localSheetId="6" hidden="1">{"YTD-Utility",#N/A,FALSE,"Prov Utility"}</definedName>
    <definedName name="wrn.Standard._.Utility._.Only." hidden="1">{"YTD-Utility",#N/A,FALSE,"Prov Utility"}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Summary._.View." localSheetId="6" hidden="1">{#N/A,#N/A,FALSE,"Consltd-For contngcy"}</definedName>
    <definedName name="wrn.Summary._.View." hidden="1">{#N/A,#N/A,FALSE,"Consltd-For contngcy"}</definedName>
    <definedName name="wrn.Tariff99." localSheetId="6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localSheetId="6" hidden="1">{#N/A,#N/A,FALSE,"Dec 1999 UK Continuing Ops"}</definedName>
    <definedName name="wrn.UK._.Conversion._.Only." hidden="1">{#N/A,#N/A,FALSE,"Dec 1999 UK Continuing Ops"}</definedName>
    <definedName name="wrn.Wacc." localSheetId="6" hidden="1">{"Area1",#N/A,FALSE,"OREWACC";"Area2",#N/A,FALSE,"OREWACC"}</definedName>
    <definedName name="wrn.Wacc." hidden="1">{"Area1",#N/A,FALSE,"OREWACC";"Area2",#N/A,FALSE,"OREWACC"}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localSheetId="6" hidden="1">{"Output-BaseYear",#N/A,FALSE,"Output"}</definedName>
    <definedName name="wrng" hidden="1">{"Output-BaseYear",#N/A,FALSE,"Output"}</definedName>
    <definedName name="wrnh" localSheetId="6" hidden="1">{"Output-All",#N/A,FALSE,"Output"}</definedName>
    <definedName name="wrnh" hidden="1">{"Output-All",#N/A,FALSE,"Output"}</definedName>
    <definedName name="wvu.allocations." localSheetId="6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localSheetId="6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localSheetId="6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localSheetId="6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localSheetId="6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localSheetId="6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localSheetId="6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localSheetId="6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localSheetId="6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localSheetId="6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localSheetId="6" hidden="1">#REF!</definedName>
    <definedName name="Z_01844156_6462_4A28_9785_1A86F4D0C834_.wvu.PrintTitles" hidden="1">#REF!</definedName>
  </definedNames>
  <calcPr calcId="162913"/>
</workbook>
</file>

<file path=xl/calcChain.xml><?xml version="1.0" encoding="utf-8"?>
<calcChain xmlns="http://schemas.openxmlformats.org/spreadsheetml/2006/main">
  <c r="A4" i="85" l="1"/>
  <c r="A4" i="75"/>
  <c r="A36" i="89" l="1"/>
  <c r="C35" i="89"/>
  <c r="G35" i="89" s="1"/>
  <c r="A35" i="89"/>
  <c r="A33" i="89"/>
  <c r="A32" i="89"/>
  <c r="C31" i="89"/>
  <c r="G31" i="89" s="1"/>
  <c r="A31" i="89"/>
  <c r="C30" i="89"/>
  <c r="G30" i="89" s="1"/>
  <c r="A30" i="89"/>
  <c r="C29" i="89"/>
  <c r="G29" i="89" s="1"/>
  <c r="A29" i="89"/>
  <c r="A26" i="89"/>
  <c r="G25" i="89"/>
  <c r="A25" i="89"/>
  <c r="C24" i="89"/>
  <c r="G24" i="89" s="1"/>
  <c r="A24" i="89"/>
  <c r="C23" i="89"/>
  <c r="G23" i="89" s="1"/>
  <c r="A23" i="89"/>
  <c r="G22" i="89"/>
  <c r="A21" i="89"/>
  <c r="A19" i="89"/>
  <c r="G18" i="89"/>
  <c r="C18" i="89"/>
  <c r="A18" i="89"/>
  <c r="C17" i="89"/>
  <c r="G17" i="89" s="1"/>
  <c r="A17" i="89"/>
  <c r="C16" i="89"/>
  <c r="G16" i="89" s="1"/>
  <c r="A16" i="89"/>
  <c r="C15" i="89"/>
  <c r="G15" i="89" s="1"/>
  <c r="A15" i="89"/>
  <c r="C14" i="89"/>
  <c r="G14" i="89" s="1"/>
  <c r="A14" i="89"/>
  <c r="C13" i="89"/>
  <c r="G13" i="89" s="1"/>
  <c r="A13" i="89"/>
  <c r="A10" i="89"/>
  <c r="G9" i="89"/>
  <c r="C9" i="89"/>
  <c r="A9" i="89"/>
  <c r="C8" i="89"/>
  <c r="G8" i="89" s="1"/>
  <c r="A8" i="89"/>
  <c r="C7" i="89"/>
  <c r="A7" i="89"/>
  <c r="C10" i="89" l="1"/>
  <c r="G10" i="89" s="1"/>
  <c r="C19" i="89"/>
  <c r="G19" i="89" s="1"/>
  <c r="G7" i="89"/>
  <c r="C21" i="89" l="1"/>
  <c r="C32" i="89"/>
  <c r="G32" i="89" s="1"/>
  <c r="C26" i="89"/>
  <c r="G21" i="89"/>
  <c r="C33" i="89" l="1"/>
  <c r="G26" i="89"/>
  <c r="G33" i="89" l="1"/>
  <c r="C36" i="89"/>
  <c r="G36" i="89" l="1"/>
  <c r="E19" i="1"/>
  <c r="D31" i="75"/>
  <c r="D32" i="75"/>
  <c r="D33" i="75"/>
  <c r="D34" i="75"/>
  <c r="D35" i="75"/>
  <c r="D30" i="75"/>
  <c r="D36" i="75" s="1"/>
  <c r="D25" i="75"/>
  <c r="D26" i="75" s="1"/>
  <c r="D24" i="75"/>
  <c r="D19" i="75"/>
  <c r="D20" i="75"/>
  <c r="D18" i="75"/>
  <c r="D21" i="75" s="1"/>
  <c r="D13" i="75"/>
  <c r="D14" i="75"/>
  <c r="D12" i="75"/>
  <c r="N128" i="86"/>
  <c r="C128" i="86"/>
  <c r="D128" i="86"/>
  <c r="E128" i="86"/>
  <c r="F128" i="86"/>
  <c r="G128" i="86"/>
  <c r="H128" i="86"/>
  <c r="I128" i="86"/>
  <c r="J128" i="86"/>
  <c r="K128" i="86"/>
  <c r="L128" i="86"/>
  <c r="M128" i="86"/>
  <c r="B128" i="86"/>
  <c r="I125" i="86"/>
  <c r="H125" i="86"/>
  <c r="G125" i="86"/>
  <c r="M125" i="86"/>
  <c r="L125" i="86"/>
  <c r="E125" i="86"/>
  <c r="D125" i="86"/>
  <c r="H115" i="86"/>
  <c r="G115" i="86"/>
  <c r="L115" i="86"/>
  <c r="D115" i="86"/>
  <c r="G105" i="86"/>
  <c r="G95" i="86"/>
  <c r="G85" i="86"/>
  <c r="D79" i="86"/>
  <c r="C79" i="86"/>
  <c r="L79" i="86"/>
  <c r="K79" i="86"/>
  <c r="J73" i="86"/>
  <c r="I73" i="86"/>
  <c r="H73" i="86"/>
  <c r="G73" i="86"/>
  <c r="J67" i="86"/>
  <c r="M67" i="86"/>
  <c r="L67" i="86"/>
  <c r="F67" i="86"/>
  <c r="E67" i="86"/>
  <c r="C67" i="86"/>
  <c r="B67" i="86"/>
  <c r="J61" i="86"/>
  <c r="B61" i="86"/>
  <c r="M61" i="86"/>
  <c r="H61" i="86"/>
  <c r="F61" i="86"/>
  <c r="E61" i="86"/>
  <c r="I54" i="86"/>
  <c r="D47" i="86"/>
  <c r="L47" i="86"/>
  <c r="K47" i="86"/>
  <c r="J47" i="86"/>
  <c r="I47" i="86"/>
  <c r="H47" i="86"/>
  <c r="M40" i="86"/>
  <c r="J40" i="86"/>
  <c r="L40" i="86"/>
  <c r="K40" i="86"/>
  <c r="E40" i="86"/>
  <c r="D40" i="86"/>
  <c r="I40" i="86"/>
  <c r="H40" i="86"/>
  <c r="G40" i="86"/>
  <c r="B40" i="86"/>
  <c r="J33" i="86"/>
  <c r="F33" i="86"/>
  <c r="G26" i="86"/>
  <c r="F26" i="86"/>
  <c r="E26" i="86"/>
  <c r="H19" i="86"/>
  <c r="D19" i="86"/>
  <c r="G19" i="86"/>
  <c r="F19" i="86"/>
  <c r="I12" i="86"/>
  <c r="H12" i="86"/>
  <c r="M12" i="86"/>
  <c r="L12" i="86"/>
  <c r="E12" i="86"/>
  <c r="D12" i="86"/>
  <c r="C7" i="86"/>
  <c r="D7" i="86" s="1"/>
  <c r="E7" i="86" s="1"/>
  <c r="F7" i="86" s="1"/>
  <c r="G7" i="86" s="1"/>
  <c r="H7" i="86" s="1"/>
  <c r="I7" i="86" s="1"/>
  <c r="J7" i="86" s="1"/>
  <c r="K7" i="86" s="1"/>
  <c r="L7" i="86" s="1"/>
  <c r="M7" i="86" s="1"/>
  <c r="D15" i="75" l="1"/>
  <c r="N11" i="86"/>
  <c r="N84" i="86"/>
  <c r="N24" i="86"/>
  <c r="C73" i="86"/>
  <c r="M79" i="86"/>
  <c r="C19" i="86"/>
  <c r="K19" i="86"/>
  <c r="J26" i="86"/>
  <c r="C33" i="86"/>
  <c r="K33" i="86"/>
  <c r="N46" i="86"/>
  <c r="N52" i="86"/>
  <c r="N53" i="86"/>
  <c r="D73" i="86"/>
  <c r="L73" i="86"/>
  <c r="F79" i="86"/>
  <c r="J79" i="86"/>
  <c r="I85" i="86"/>
  <c r="N104" i="86"/>
  <c r="N65" i="86"/>
  <c r="N67" i="86" s="1"/>
  <c r="N72" i="86"/>
  <c r="I26" i="86"/>
  <c r="I61" i="86"/>
  <c r="K67" i="86"/>
  <c r="K73" i="86"/>
  <c r="N77" i="86"/>
  <c r="H85" i="86"/>
  <c r="N94" i="86"/>
  <c r="L19" i="86"/>
  <c r="C26" i="86"/>
  <c r="K26" i="86"/>
  <c r="D33" i="86"/>
  <c r="L33" i="86"/>
  <c r="F47" i="86"/>
  <c r="B47" i="86"/>
  <c r="G54" i="86"/>
  <c r="C54" i="86"/>
  <c r="K54" i="86"/>
  <c r="E73" i="86"/>
  <c r="M73" i="86"/>
  <c r="G79" i="86"/>
  <c r="J85" i="86"/>
  <c r="F85" i="86"/>
  <c r="N92" i="86"/>
  <c r="N102" i="86"/>
  <c r="N114" i="86"/>
  <c r="N122" i="86"/>
  <c r="G61" i="86"/>
  <c r="I33" i="86"/>
  <c r="F12" i="86"/>
  <c r="E19" i="86"/>
  <c r="M19" i="86"/>
  <c r="D26" i="86"/>
  <c r="L26" i="86"/>
  <c r="E33" i="86"/>
  <c r="M33" i="86"/>
  <c r="F40" i="86"/>
  <c r="N39" i="86"/>
  <c r="G47" i="86"/>
  <c r="C47" i="86"/>
  <c r="H54" i="86"/>
  <c r="H79" i="86"/>
  <c r="N91" i="86"/>
  <c r="F95" i="86"/>
  <c r="N101" i="86"/>
  <c r="F105" i="86"/>
  <c r="N111" i="86"/>
  <c r="F115" i="86"/>
  <c r="N123" i="86"/>
  <c r="F125" i="86"/>
  <c r="N16" i="86"/>
  <c r="N78" i="86"/>
  <c r="N79" i="86" s="1"/>
  <c r="B79" i="86"/>
  <c r="N9" i="86"/>
  <c r="N12" i="86" s="1"/>
  <c r="G12" i="86"/>
  <c r="F73" i="86"/>
  <c r="N124" i="86"/>
  <c r="B54" i="86"/>
  <c r="D105" i="86"/>
  <c r="N99" i="86"/>
  <c r="H105" i="86"/>
  <c r="E115" i="86"/>
  <c r="M115" i="86"/>
  <c r="N31" i="86"/>
  <c r="N93" i="86"/>
  <c r="E105" i="86"/>
  <c r="I105" i="86"/>
  <c r="I115" i="86"/>
  <c r="C61" i="86"/>
  <c r="E79" i="86"/>
  <c r="D95" i="86"/>
  <c r="N89" i="86"/>
  <c r="L95" i="86"/>
  <c r="H95" i="86"/>
  <c r="N119" i="86"/>
  <c r="N38" i="86"/>
  <c r="C40" i="86"/>
  <c r="N17" i="86"/>
  <c r="B26" i="86"/>
  <c r="N23" i="86"/>
  <c r="N26" i="86" s="1"/>
  <c r="N71" i="86"/>
  <c r="N73" i="86" s="1"/>
  <c r="B73" i="86"/>
  <c r="N112" i="86"/>
  <c r="N10" i="86"/>
  <c r="I19" i="86"/>
  <c r="N25" i="86"/>
  <c r="N103" i="86"/>
  <c r="N113" i="86"/>
  <c r="L105" i="86"/>
  <c r="M26" i="86"/>
  <c r="N45" i="86"/>
  <c r="D67" i="86"/>
  <c r="M105" i="86"/>
  <c r="N109" i="86"/>
  <c r="K61" i="86"/>
  <c r="N60" i="86"/>
  <c r="C12" i="86"/>
  <c r="K12" i="86"/>
  <c r="N32" i="86"/>
  <c r="B33" i="86"/>
  <c r="N51" i="86"/>
  <c r="J54" i="86"/>
  <c r="I95" i="86"/>
  <c r="N120" i="86"/>
  <c r="B125" i="86"/>
  <c r="J125" i="86"/>
  <c r="J19" i="86"/>
  <c r="D61" i="86"/>
  <c r="I79" i="86"/>
  <c r="B85" i="86"/>
  <c r="N83" i="86"/>
  <c r="N85" i="86" s="1"/>
  <c r="E95" i="86"/>
  <c r="N110" i="86"/>
  <c r="B115" i="86"/>
  <c r="C125" i="86"/>
  <c r="H33" i="86"/>
  <c r="D54" i="86"/>
  <c r="L54" i="86"/>
  <c r="G67" i="86"/>
  <c r="K85" i="86"/>
  <c r="N100" i="86"/>
  <c r="B105" i="86"/>
  <c r="C115" i="86"/>
  <c r="E54" i="86"/>
  <c r="M54" i="86"/>
  <c r="N58" i="86"/>
  <c r="H67" i="86"/>
  <c r="D85" i="86"/>
  <c r="L85" i="86"/>
  <c r="N90" i="86"/>
  <c r="B95" i="86"/>
  <c r="J95" i="86"/>
  <c r="C105" i="86"/>
  <c r="K105" i="86"/>
  <c r="B19" i="86"/>
  <c r="G33" i="86"/>
  <c r="N44" i="86"/>
  <c r="L61" i="86"/>
  <c r="M95" i="86"/>
  <c r="J115" i="86"/>
  <c r="K125" i="86"/>
  <c r="N37" i="86"/>
  <c r="N66" i="86"/>
  <c r="C85" i="86"/>
  <c r="J105" i="86"/>
  <c r="K115" i="86"/>
  <c r="N18" i="86"/>
  <c r="B12" i="86"/>
  <c r="J12" i="86"/>
  <c r="H26" i="86"/>
  <c r="N30" i="86"/>
  <c r="E47" i="86"/>
  <c r="M47" i="86"/>
  <c r="F54" i="86"/>
  <c r="N59" i="86"/>
  <c r="I67" i="86"/>
  <c r="E85" i="86"/>
  <c r="M85" i="86"/>
  <c r="C95" i="86"/>
  <c r="K95" i="86"/>
  <c r="N121" i="86"/>
  <c r="A13" i="85"/>
  <c r="A14" i="85"/>
  <c r="A15" i="85"/>
  <c r="A16" i="85"/>
  <c r="A17" i="85"/>
  <c r="A18" i="85"/>
  <c r="A19" i="85"/>
  <c r="A20" i="85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E12" i="85"/>
  <c r="E11" i="85"/>
  <c r="A12" i="85"/>
  <c r="N47" i="86" l="1"/>
  <c r="N40" i="86"/>
  <c r="N54" i="86"/>
  <c r="N105" i="86"/>
  <c r="N61" i="86"/>
  <c r="N95" i="86"/>
  <c r="N19" i="86"/>
  <c r="N115" i="86"/>
  <c r="N125" i="86"/>
  <c r="N33" i="86"/>
  <c r="E13" i="75"/>
  <c r="E12" i="75"/>
  <c r="K168" i="84"/>
  <c r="L168" i="84" s="1"/>
  <c r="D151" i="84"/>
  <c r="D148" i="84"/>
  <c r="F132" i="84"/>
  <c r="F131" i="84"/>
  <c r="F129" i="84"/>
  <c r="F128" i="84"/>
  <c r="F147" i="84" s="1"/>
  <c r="L125" i="84"/>
  <c r="I125" i="84"/>
  <c r="F115" i="84"/>
  <c r="F112" i="84"/>
  <c r="F110" i="84"/>
  <c r="O110" i="84"/>
  <c r="I107" i="84"/>
  <c r="K107" i="84" s="1"/>
  <c r="L107" i="84" s="1"/>
  <c r="H105" i="84"/>
  <c r="H124" i="84" s="1"/>
  <c r="D142" i="84"/>
  <c r="I104" i="84"/>
  <c r="F91" i="84"/>
  <c r="F79" i="84"/>
  <c r="I76" i="84"/>
  <c r="K76" i="84" s="1"/>
  <c r="L76" i="84" s="1"/>
  <c r="H74" i="84"/>
  <c r="I74" i="84"/>
  <c r="I62" i="84"/>
  <c r="K62" i="84" s="1"/>
  <c r="L62" i="84" s="1"/>
  <c r="H61" i="84"/>
  <c r="H60" i="84"/>
  <c r="H75" i="84" s="1"/>
  <c r="F60" i="84"/>
  <c r="H59" i="84"/>
  <c r="I59" i="84" s="1"/>
  <c r="D88" i="84"/>
  <c r="D43" i="84"/>
  <c r="F33" i="84"/>
  <c r="I30" i="84"/>
  <c r="K30" i="84" s="1"/>
  <c r="L30" i="84" s="1"/>
  <c r="F29" i="84"/>
  <c r="H28" i="84"/>
  <c r="F18" i="84"/>
  <c r="F13" i="84"/>
  <c r="F44" i="84" s="1"/>
  <c r="F65" i="83"/>
  <c r="H64" i="83"/>
  <c r="I64" i="83" s="1"/>
  <c r="F64" i="83"/>
  <c r="D79" i="83"/>
  <c r="H58" i="83"/>
  <c r="I58" i="83" s="1"/>
  <c r="H48" i="83"/>
  <c r="I47" i="83"/>
  <c r="H46" i="83"/>
  <c r="H63" i="83" s="1"/>
  <c r="H43" i="83"/>
  <c r="H60" i="83" s="1"/>
  <c r="F43" i="83"/>
  <c r="F42" i="83"/>
  <c r="I41" i="83"/>
  <c r="F41" i="83"/>
  <c r="D42" i="83"/>
  <c r="H22" i="83"/>
  <c r="I22" i="83"/>
  <c r="D14" i="83"/>
  <c r="D37" i="82"/>
  <c r="F28" i="82"/>
  <c r="F32" i="82" s="1"/>
  <c r="F21" i="82"/>
  <c r="H20" i="82"/>
  <c r="F20" i="82"/>
  <c r="F22" i="82" s="1"/>
  <c r="F24" i="82" s="1"/>
  <c r="F13" i="82"/>
  <c r="I12" i="82"/>
  <c r="F12" i="82"/>
  <c r="I14" i="83" l="1"/>
  <c r="D33" i="83"/>
  <c r="I48" i="83"/>
  <c r="H65" i="83"/>
  <c r="I65" i="83" s="1"/>
  <c r="I81" i="83" s="1"/>
  <c r="E14" i="75"/>
  <c r="F148" i="84"/>
  <c r="F14" i="82"/>
  <c r="F16" i="82" s="1"/>
  <c r="F48" i="83"/>
  <c r="F81" i="83" s="1"/>
  <c r="D44" i="84"/>
  <c r="D50" i="84"/>
  <c r="F104" i="84"/>
  <c r="K104" i="84" s="1"/>
  <c r="L104" i="84" s="1"/>
  <c r="D116" i="84"/>
  <c r="D106" i="84" s="1"/>
  <c r="H115" i="84"/>
  <c r="D74" i="83"/>
  <c r="D75" i="83" s="1"/>
  <c r="D66" i="83"/>
  <c r="D94" i="83" s="1"/>
  <c r="H13" i="84"/>
  <c r="H29" i="84" s="1"/>
  <c r="F59" i="84"/>
  <c r="F23" i="83"/>
  <c r="D80" i="83"/>
  <c r="D82" i="83" s="1"/>
  <c r="F49" i="84"/>
  <c r="D81" i="84"/>
  <c r="I124" i="84"/>
  <c r="F124" i="84"/>
  <c r="K124" i="84" s="1"/>
  <c r="L124" i="84" s="1"/>
  <c r="F65" i="84"/>
  <c r="F94" i="84" s="1"/>
  <c r="I20" i="82"/>
  <c r="K20" i="82" s="1"/>
  <c r="D141" i="84"/>
  <c r="F46" i="84"/>
  <c r="H28" i="82"/>
  <c r="I28" i="82" s="1"/>
  <c r="F58" i="83"/>
  <c r="K58" i="83" s="1"/>
  <c r="D81" i="83"/>
  <c r="F75" i="84"/>
  <c r="F89" i="84" s="1"/>
  <c r="H106" i="84"/>
  <c r="F111" i="84"/>
  <c r="I144" i="84"/>
  <c r="K144" i="84" s="1"/>
  <c r="L144" i="84" s="1"/>
  <c r="F130" i="84"/>
  <c r="F144" i="84"/>
  <c r="I42" i="83"/>
  <c r="K42" i="83" s="1"/>
  <c r="L42" i="83" s="1"/>
  <c r="I88" i="84"/>
  <c r="K59" i="84"/>
  <c r="I74" i="83"/>
  <c r="D89" i="84"/>
  <c r="I106" i="84"/>
  <c r="K41" i="83"/>
  <c r="H20" i="84"/>
  <c r="H35" i="84" s="1"/>
  <c r="I60" i="84"/>
  <c r="I105" i="84"/>
  <c r="I142" i="84" s="1"/>
  <c r="I33" i="83"/>
  <c r="I12" i="84"/>
  <c r="F12" i="84"/>
  <c r="F149" i="84"/>
  <c r="H42" i="83"/>
  <c r="H59" i="83" s="1"/>
  <c r="F74" i="83"/>
  <c r="I80" i="83"/>
  <c r="K64" i="83"/>
  <c r="I123" i="84"/>
  <c r="F20" i="84"/>
  <c r="I75" i="84"/>
  <c r="K12" i="82"/>
  <c r="F35" i="84"/>
  <c r="D51" i="84"/>
  <c r="F114" i="84"/>
  <c r="F151" i="84" s="1"/>
  <c r="H14" i="84"/>
  <c r="F106" i="84"/>
  <c r="F143" i="84" s="1"/>
  <c r="I12" i="83"/>
  <c r="F12" i="83"/>
  <c r="I43" i="83"/>
  <c r="K43" i="83" s="1"/>
  <c r="L43" i="83" s="1"/>
  <c r="D21" i="84"/>
  <c r="D14" i="84" s="1"/>
  <c r="F14" i="84" s="1"/>
  <c r="F45" i="84" s="1"/>
  <c r="I91" i="84"/>
  <c r="K91" i="84" s="1"/>
  <c r="L91" i="84" s="1"/>
  <c r="F123" i="84"/>
  <c r="F14" i="83"/>
  <c r="F33" i="83" s="1"/>
  <c r="D31" i="83"/>
  <c r="F47" i="83"/>
  <c r="F80" i="83" s="1"/>
  <c r="D76" i="83"/>
  <c r="F60" i="83"/>
  <c r="F76" i="83" s="1"/>
  <c r="I15" i="84"/>
  <c r="D149" i="84"/>
  <c r="F19" i="84"/>
  <c r="D152" i="84"/>
  <c r="F133" i="84"/>
  <c r="F152" i="84" s="1"/>
  <c r="H13" i="83"/>
  <c r="I60" i="83"/>
  <c r="H19" i="84"/>
  <c r="H34" i="84" s="1"/>
  <c r="I28" i="84"/>
  <c r="F28" i="84"/>
  <c r="F34" i="84"/>
  <c r="D36" i="84"/>
  <c r="D95" i="84"/>
  <c r="F66" i="84"/>
  <c r="D134" i="84"/>
  <c r="I29" i="84"/>
  <c r="K29" i="84" s="1"/>
  <c r="L29" i="84" s="1"/>
  <c r="D94" i="84"/>
  <c r="F80" i="84"/>
  <c r="F105" i="84"/>
  <c r="D150" i="84"/>
  <c r="F113" i="84"/>
  <c r="F150" i="84" s="1"/>
  <c r="D147" i="84"/>
  <c r="D32" i="83"/>
  <c r="F13" i="83"/>
  <c r="F32" i="83" s="1"/>
  <c r="F22" i="83"/>
  <c r="F24" i="83" s="1"/>
  <c r="F26" i="83" s="1"/>
  <c r="D49" i="83"/>
  <c r="D50" i="83" s="1"/>
  <c r="I13" i="84"/>
  <c r="D67" i="84"/>
  <c r="F74" i="84"/>
  <c r="D59" i="83"/>
  <c r="D49" i="84"/>
  <c r="F142" i="84" l="1"/>
  <c r="F81" i="84"/>
  <c r="F83" i="84" s="1"/>
  <c r="H23" i="83"/>
  <c r="I23" i="83" s="1"/>
  <c r="K23" i="83" s="1"/>
  <c r="L23" i="83" s="1"/>
  <c r="H133" i="84"/>
  <c r="I133" i="84" s="1"/>
  <c r="I152" i="84" s="1"/>
  <c r="K152" i="84" s="1"/>
  <c r="L152" i="84" s="1"/>
  <c r="E35" i="75"/>
  <c r="I13" i="83"/>
  <c r="I15" i="83" s="1"/>
  <c r="F50" i="84"/>
  <c r="K48" i="83"/>
  <c r="L48" i="83" s="1"/>
  <c r="I115" i="84"/>
  <c r="K115" i="84" s="1"/>
  <c r="L115" i="84" s="1"/>
  <c r="I34" i="84"/>
  <c r="K34" i="84" s="1"/>
  <c r="L34" i="84" s="1"/>
  <c r="E19" i="75"/>
  <c r="K14" i="83"/>
  <c r="L14" i="83" s="1"/>
  <c r="K65" i="83"/>
  <c r="K81" i="83" s="1"/>
  <c r="L81" i="83" s="1"/>
  <c r="K142" i="84"/>
  <c r="L142" i="84" s="1"/>
  <c r="I35" i="84"/>
  <c r="K35" i="84" s="1"/>
  <c r="L35" i="84" s="1"/>
  <c r="E20" i="75"/>
  <c r="D52" i="84"/>
  <c r="D161" i="84" s="1"/>
  <c r="K33" i="83"/>
  <c r="L33" i="83" s="1"/>
  <c r="F37" i="82"/>
  <c r="F39" i="82" s="1"/>
  <c r="F21" i="84"/>
  <c r="F43" i="84"/>
  <c r="D153" i="84"/>
  <c r="D163" i="84" s="1"/>
  <c r="K47" i="83"/>
  <c r="L47" i="83" s="1"/>
  <c r="K28" i="84"/>
  <c r="L59" i="84"/>
  <c r="I19" i="84"/>
  <c r="K12" i="84"/>
  <c r="I43" i="84"/>
  <c r="F116" i="84"/>
  <c r="L64" i="83"/>
  <c r="K75" i="84"/>
  <c r="L75" i="84" s="1"/>
  <c r="I143" i="84"/>
  <c r="K143" i="84" s="1"/>
  <c r="L143" i="84" s="1"/>
  <c r="K106" i="84"/>
  <c r="L106" i="84" s="1"/>
  <c r="F15" i="83"/>
  <c r="F31" i="83"/>
  <c r="F34" i="83" s="1"/>
  <c r="F36" i="83" s="1"/>
  <c r="I32" i="82"/>
  <c r="H13" i="82" s="1"/>
  <c r="K28" i="82"/>
  <c r="K12" i="83"/>
  <c r="I31" i="83"/>
  <c r="F51" i="83"/>
  <c r="F88" i="84"/>
  <c r="L20" i="82"/>
  <c r="I32" i="83"/>
  <c r="K32" i="83" s="1"/>
  <c r="L32" i="83" s="1"/>
  <c r="K13" i="83"/>
  <c r="L13" i="83" s="1"/>
  <c r="D61" i="84"/>
  <c r="I61" i="84"/>
  <c r="F95" i="84"/>
  <c r="I141" i="84"/>
  <c r="K123" i="84"/>
  <c r="L41" i="83"/>
  <c r="K60" i="83"/>
  <c r="I76" i="83"/>
  <c r="D45" i="84"/>
  <c r="I14" i="84"/>
  <c r="L12" i="82"/>
  <c r="L58" i="83"/>
  <c r="K74" i="83"/>
  <c r="K13" i="84"/>
  <c r="L13" i="84" s="1"/>
  <c r="I44" i="84"/>
  <c r="K44" i="84" s="1"/>
  <c r="L44" i="84" s="1"/>
  <c r="K74" i="84"/>
  <c r="I50" i="83"/>
  <c r="I51" i="83" s="1"/>
  <c r="F50" i="83"/>
  <c r="F83" i="83" s="1"/>
  <c r="D83" i="83"/>
  <c r="D96" i="84"/>
  <c r="D162" i="84" s="1"/>
  <c r="F51" i="84"/>
  <c r="F59" i="83"/>
  <c r="I59" i="83"/>
  <c r="K22" i="83"/>
  <c r="I20" i="84"/>
  <c r="K105" i="84"/>
  <c r="L105" i="84" s="1"/>
  <c r="D93" i="83"/>
  <c r="D95" i="83" s="1"/>
  <c r="I24" i="83"/>
  <c r="I26" i="83" s="1"/>
  <c r="F36" i="84"/>
  <c r="F38" i="84" s="1"/>
  <c r="I46" i="84"/>
  <c r="K46" i="84" s="1"/>
  <c r="L46" i="84" s="1"/>
  <c r="K15" i="84"/>
  <c r="L15" i="84" s="1"/>
  <c r="F141" i="84"/>
  <c r="F153" i="84" s="1"/>
  <c r="F155" i="84" s="1"/>
  <c r="F134" i="84"/>
  <c r="F136" i="84" s="1"/>
  <c r="I89" i="84"/>
  <c r="K89" i="84" s="1"/>
  <c r="L89" i="84" s="1"/>
  <c r="K60" i="84"/>
  <c r="L60" i="84" s="1"/>
  <c r="K133" i="84"/>
  <c r="L133" i="84" s="1"/>
  <c r="K80" i="83" l="1"/>
  <c r="L80" i="83" s="1"/>
  <c r="L65" i="83"/>
  <c r="D164" i="84"/>
  <c r="F53" i="83"/>
  <c r="I90" i="84"/>
  <c r="F61" i="84"/>
  <c r="K61" i="84" s="1"/>
  <c r="D90" i="84"/>
  <c r="K15" i="83"/>
  <c r="L12" i="83"/>
  <c r="L60" i="83"/>
  <c r="K76" i="83"/>
  <c r="L76" i="83" s="1"/>
  <c r="L28" i="84"/>
  <c r="F118" i="84"/>
  <c r="F163" i="84"/>
  <c r="I83" i="83"/>
  <c r="K83" i="83" s="1"/>
  <c r="L83" i="83" s="1"/>
  <c r="K50" i="83"/>
  <c r="L50" i="83" s="1"/>
  <c r="K88" i="84"/>
  <c r="I93" i="83"/>
  <c r="I17" i="83"/>
  <c r="K32" i="82"/>
  <c r="L32" i="82" s="1"/>
  <c r="L28" i="82"/>
  <c r="L12" i="84"/>
  <c r="F52" i="84"/>
  <c r="F54" i="84" s="1"/>
  <c r="I94" i="83"/>
  <c r="I53" i="83"/>
  <c r="L74" i="83"/>
  <c r="K141" i="84"/>
  <c r="O109" i="84"/>
  <c r="F93" i="83"/>
  <c r="F17" i="83"/>
  <c r="I51" i="84"/>
  <c r="K51" i="84" s="1"/>
  <c r="L51" i="84" s="1"/>
  <c r="K20" i="84"/>
  <c r="L20" i="84" s="1"/>
  <c r="K31" i="83"/>
  <c r="I34" i="83"/>
  <c r="I36" i="83" s="1"/>
  <c r="O14" i="83" s="1"/>
  <c r="K24" i="83"/>
  <c r="L22" i="83"/>
  <c r="K43" i="84"/>
  <c r="D167" i="84"/>
  <c r="D169" i="84" s="1"/>
  <c r="K59" i="83"/>
  <c r="I75" i="83"/>
  <c r="I84" i="83" s="1"/>
  <c r="I86" i="83" s="1"/>
  <c r="O43" i="83" s="1"/>
  <c r="I67" i="83"/>
  <c r="I69" i="83" s="1"/>
  <c r="L74" i="84"/>
  <c r="I45" i="84"/>
  <c r="K45" i="84" s="1"/>
  <c r="L45" i="84" s="1"/>
  <c r="K14" i="84"/>
  <c r="L14" i="84" s="1"/>
  <c r="H18" i="84"/>
  <c r="F75" i="83"/>
  <c r="F84" i="83" s="1"/>
  <c r="F86" i="83" s="1"/>
  <c r="F67" i="83"/>
  <c r="F69" i="83" s="1"/>
  <c r="L123" i="84"/>
  <c r="H21" i="82"/>
  <c r="I21" i="82" s="1"/>
  <c r="I13" i="82"/>
  <c r="I50" i="84"/>
  <c r="K50" i="84" s="1"/>
  <c r="L50" i="84" s="1"/>
  <c r="K19" i="84"/>
  <c r="L19" i="84" s="1"/>
  <c r="F23" i="84"/>
  <c r="F161" i="84"/>
  <c r="L61" i="84" l="1"/>
  <c r="L31" i="83"/>
  <c r="K34" i="83"/>
  <c r="H33" i="84"/>
  <c r="I18" i="84"/>
  <c r="L88" i="84"/>
  <c r="K21" i="82"/>
  <c r="I22" i="82"/>
  <c r="I24" i="82" s="1"/>
  <c r="K75" i="83"/>
  <c r="L59" i="83"/>
  <c r="K67" i="83"/>
  <c r="L43" i="84"/>
  <c r="O65" i="84"/>
  <c r="F94" i="83"/>
  <c r="F95" i="83" s="1"/>
  <c r="F97" i="83" s="1"/>
  <c r="L26" i="83"/>
  <c r="L24" i="83"/>
  <c r="K17" i="83"/>
  <c r="L17" i="83" s="1"/>
  <c r="L15" i="83"/>
  <c r="F90" i="84"/>
  <c r="F96" i="84" s="1"/>
  <c r="F98" i="84" s="1"/>
  <c r="F167" i="84" s="1"/>
  <c r="F169" i="84" s="1"/>
  <c r="F174" i="84" s="1"/>
  <c r="F67" i="84"/>
  <c r="K93" i="83"/>
  <c r="I95" i="83"/>
  <c r="K13" i="82"/>
  <c r="I14" i="82"/>
  <c r="H111" i="84"/>
  <c r="E31" i="75" s="1"/>
  <c r="H110" i="84"/>
  <c r="E30" i="75" s="1"/>
  <c r="H114" i="84"/>
  <c r="E34" i="75" s="1"/>
  <c r="H113" i="84"/>
  <c r="E33" i="75" s="1"/>
  <c r="H112" i="84"/>
  <c r="E32" i="75" s="1"/>
  <c r="L141" i="84"/>
  <c r="K51" i="83"/>
  <c r="I33" i="84" l="1"/>
  <c r="E18" i="75"/>
  <c r="I37" i="82"/>
  <c r="I16" i="82"/>
  <c r="L67" i="83"/>
  <c r="K69" i="83"/>
  <c r="L69" i="83" s="1"/>
  <c r="H131" i="84"/>
  <c r="I131" i="84" s="1"/>
  <c r="I113" i="84"/>
  <c r="K113" i="84" s="1"/>
  <c r="L113" i="84" s="1"/>
  <c r="H132" i="84"/>
  <c r="I132" i="84" s="1"/>
  <c r="I114" i="84"/>
  <c r="K114" i="84" s="1"/>
  <c r="L114" i="84" s="1"/>
  <c r="L93" i="83"/>
  <c r="L75" i="83"/>
  <c r="K84" i="83"/>
  <c r="F69" i="84"/>
  <c r="F162" i="84"/>
  <c r="F164" i="84" s="1"/>
  <c r="F173" i="84" s="1"/>
  <c r="K53" i="83"/>
  <c r="L53" i="83" s="1"/>
  <c r="L51" i="83"/>
  <c r="K90" i="84"/>
  <c r="K94" i="83"/>
  <c r="L94" i="83" s="1"/>
  <c r="I49" i="84"/>
  <c r="K18" i="84"/>
  <c r="I21" i="84"/>
  <c r="H130" i="84"/>
  <c r="I130" i="84" s="1"/>
  <c r="I112" i="84"/>
  <c r="K112" i="84" s="1"/>
  <c r="L112" i="84" s="1"/>
  <c r="L13" i="82"/>
  <c r="K14" i="82"/>
  <c r="K33" i="84"/>
  <c r="I36" i="84"/>
  <c r="I38" i="84" s="1"/>
  <c r="K36" i="83"/>
  <c r="L36" i="83" s="1"/>
  <c r="L34" i="83"/>
  <c r="H128" i="84"/>
  <c r="I128" i="84" s="1"/>
  <c r="I110" i="84"/>
  <c r="H66" i="84"/>
  <c r="E25" i="75" s="1"/>
  <c r="H65" i="84"/>
  <c r="E24" i="75" s="1"/>
  <c r="I111" i="84"/>
  <c r="K111" i="84" s="1"/>
  <c r="L111" i="84" s="1"/>
  <c r="H129" i="84"/>
  <c r="I129" i="84" s="1"/>
  <c r="L21" i="82"/>
  <c r="K22" i="82"/>
  <c r="K128" i="84" l="1"/>
  <c r="I147" i="84"/>
  <c r="I134" i="84"/>
  <c r="I136" i="84" s="1"/>
  <c r="H80" i="84"/>
  <c r="I80" i="84" s="1"/>
  <c r="K80" i="84" s="1"/>
  <c r="L80" i="84" s="1"/>
  <c r="I66" i="84"/>
  <c r="K132" i="84"/>
  <c r="L132" i="84" s="1"/>
  <c r="I151" i="84"/>
  <c r="K151" i="84" s="1"/>
  <c r="L151" i="84" s="1"/>
  <c r="I149" i="84"/>
  <c r="K149" i="84" s="1"/>
  <c r="L149" i="84" s="1"/>
  <c r="K130" i="84"/>
  <c r="L130" i="84" s="1"/>
  <c r="L18" i="84"/>
  <c r="K21" i="84"/>
  <c r="K49" i="84"/>
  <c r="I52" i="84"/>
  <c r="I54" i="84" s="1"/>
  <c r="O14" i="84" s="1"/>
  <c r="L33" i="84"/>
  <c r="K36" i="84"/>
  <c r="K95" i="83"/>
  <c r="L95" i="83" s="1"/>
  <c r="K110" i="84"/>
  <c r="L110" i="84" s="1"/>
  <c r="I116" i="84"/>
  <c r="L22" i="82"/>
  <c r="K24" i="82"/>
  <c r="L24" i="82" s="1"/>
  <c r="I161" i="84"/>
  <c r="I23" i="84"/>
  <c r="I150" i="84"/>
  <c r="K150" i="84" s="1"/>
  <c r="L150" i="84" s="1"/>
  <c r="K131" i="84"/>
  <c r="L131" i="84" s="1"/>
  <c r="K86" i="83"/>
  <c r="L86" i="83" s="1"/>
  <c r="L84" i="83"/>
  <c r="I148" i="84"/>
  <c r="K148" i="84" s="1"/>
  <c r="L148" i="84" s="1"/>
  <c r="K129" i="84"/>
  <c r="L129" i="84" s="1"/>
  <c r="H79" i="84"/>
  <c r="I79" i="84" s="1"/>
  <c r="I65" i="84"/>
  <c r="L14" i="82"/>
  <c r="K16" i="82"/>
  <c r="L16" i="82" s="1"/>
  <c r="L90" i="84"/>
  <c r="N14" i="82"/>
  <c r="K37" i="82"/>
  <c r="L37" i="82" s="1"/>
  <c r="L36" i="84" l="1"/>
  <c r="K38" i="84"/>
  <c r="L38" i="84" s="1"/>
  <c r="K79" i="84"/>
  <c r="I81" i="84"/>
  <c r="I83" i="84" s="1"/>
  <c r="K66" i="84"/>
  <c r="L66" i="84" s="1"/>
  <c r="I95" i="84"/>
  <c r="K95" i="84" s="1"/>
  <c r="L95" i="84" s="1"/>
  <c r="L49" i="84"/>
  <c r="K52" i="84"/>
  <c r="K147" i="84"/>
  <c r="I153" i="84"/>
  <c r="I155" i="84" s="1"/>
  <c r="O106" i="84" s="1"/>
  <c r="K65" i="84"/>
  <c r="I94" i="84"/>
  <c r="I67" i="84"/>
  <c r="K161" i="84"/>
  <c r="I118" i="84"/>
  <c r="I163" i="84"/>
  <c r="K163" i="84" s="1"/>
  <c r="L163" i="84" s="1"/>
  <c r="K116" i="84"/>
  <c r="L21" i="84"/>
  <c r="K23" i="84"/>
  <c r="L23" i="84" s="1"/>
  <c r="L128" i="84"/>
  <c r="K134" i="84"/>
  <c r="L134" i="84" l="1"/>
  <c r="K136" i="84"/>
  <c r="L136" i="84" s="1"/>
  <c r="L161" i="84"/>
  <c r="K94" i="84"/>
  <c r="I96" i="84"/>
  <c r="I98" i="84" s="1"/>
  <c r="L65" i="84"/>
  <c r="K67" i="84"/>
  <c r="K54" i="84"/>
  <c r="L54" i="84" s="1"/>
  <c r="L52" i="84"/>
  <c r="I69" i="84"/>
  <c r="I162" i="84"/>
  <c r="L79" i="84"/>
  <c r="K81" i="84"/>
  <c r="K118" i="84"/>
  <c r="L118" i="84" s="1"/>
  <c r="L116" i="84"/>
  <c r="L147" i="84"/>
  <c r="K153" i="84"/>
  <c r="L67" i="84" l="1"/>
  <c r="K69" i="84"/>
  <c r="L69" i="84" s="1"/>
  <c r="L81" i="84"/>
  <c r="K83" i="84"/>
  <c r="L83" i="84" s="1"/>
  <c r="O61" i="84"/>
  <c r="I167" i="84"/>
  <c r="L94" i="84"/>
  <c r="K96" i="84"/>
  <c r="K162" i="84"/>
  <c r="I164" i="84"/>
  <c r="K155" i="84"/>
  <c r="L155" i="84" s="1"/>
  <c r="L153" i="84"/>
  <c r="K98" i="84" l="1"/>
  <c r="L98" i="84" s="1"/>
  <c r="L96" i="84"/>
  <c r="K167" i="84"/>
  <c r="I169" i="84"/>
  <c r="I174" i="84" s="1"/>
  <c r="L162" i="84"/>
  <c r="K164" i="84"/>
  <c r="L164" i="84" s="1"/>
  <c r="K169" i="84" l="1"/>
  <c r="L167" i="84"/>
  <c r="L169" i="84" l="1"/>
  <c r="K174" i="84"/>
  <c r="G49" i="79" l="1"/>
  <c r="F49" i="79"/>
  <c r="E49" i="79"/>
  <c r="D49" i="79"/>
  <c r="C48" i="79"/>
  <c r="B48" i="79"/>
  <c r="C46" i="79"/>
  <c r="J42" i="79"/>
  <c r="F41" i="79"/>
  <c r="E41" i="79"/>
  <c r="K38" i="79"/>
  <c r="C38" i="79"/>
  <c r="M49" i="79"/>
  <c r="L49" i="79"/>
  <c r="K49" i="79"/>
  <c r="J49" i="79"/>
  <c r="I49" i="79"/>
  <c r="H49" i="79"/>
  <c r="C49" i="79"/>
  <c r="B49" i="79"/>
  <c r="D48" i="79"/>
  <c r="L48" i="79"/>
  <c r="K48" i="79"/>
  <c r="J48" i="79"/>
  <c r="I48" i="79"/>
  <c r="H48" i="79"/>
  <c r="M43" i="79"/>
  <c r="L43" i="79"/>
  <c r="F43" i="79"/>
  <c r="E43" i="79"/>
  <c r="D43" i="79"/>
  <c r="I43" i="79"/>
  <c r="H43" i="79"/>
  <c r="N26" i="79"/>
  <c r="K47" i="79"/>
  <c r="J47" i="79"/>
  <c r="I47" i="79"/>
  <c r="H47" i="79"/>
  <c r="G47" i="79"/>
  <c r="F47" i="79"/>
  <c r="C47" i="79"/>
  <c r="B47" i="79"/>
  <c r="G42" i="79"/>
  <c r="K42" i="79"/>
  <c r="I42" i="79"/>
  <c r="H42" i="79"/>
  <c r="C42" i="79"/>
  <c r="B42" i="79"/>
  <c r="D46" i="79"/>
  <c r="L46" i="79"/>
  <c r="K46" i="79"/>
  <c r="J46" i="79"/>
  <c r="I46" i="79"/>
  <c r="H46" i="79"/>
  <c r="B46" i="79"/>
  <c r="M41" i="79"/>
  <c r="L41" i="79"/>
  <c r="K41" i="79"/>
  <c r="J41" i="79"/>
  <c r="I41" i="79"/>
  <c r="H41" i="79"/>
  <c r="D41" i="79"/>
  <c r="C41" i="79"/>
  <c r="M38" i="79"/>
  <c r="L38" i="79"/>
  <c r="J38" i="79"/>
  <c r="I38" i="79"/>
  <c r="H38" i="79"/>
  <c r="G38" i="79"/>
  <c r="F38" i="79"/>
  <c r="E38" i="79"/>
  <c r="D38" i="79"/>
  <c r="B38" i="79"/>
  <c r="K45" i="79"/>
  <c r="J45" i="79"/>
  <c r="I45" i="79"/>
  <c r="H45" i="79"/>
  <c r="C45" i="79"/>
  <c r="B45" i="79"/>
  <c r="M45" i="79"/>
  <c r="G45" i="79"/>
  <c r="F45" i="79"/>
  <c r="E45" i="79"/>
  <c r="K40" i="79"/>
  <c r="C40" i="79"/>
  <c r="B40" i="79"/>
  <c r="J40" i="79"/>
  <c r="I40" i="79"/>
  <c r="G40" i="79"/>
  <c r="F40" i="79"/>
  <c r="I44" i="79"/>
  <c r="H44" i="79"/>
  <c r="L44" i="79"/>
  <c r="D44" i="79"/>
  <c r="J39" i="79"/>
  <c r="I39" i="79"/>
  <c r="H39" i="79"/>
  <c r="M39" i="79"/>
  <c r="L39" i="79"/>
  <c r="F39" i="79"/>
  <c r="E39" i="79"/>
  <c r="D39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M32" i="79"/>
  <c r="L36" i="79"/>
  <c r="K36" i="79"/>
  <c r="I36" i="79"/>
  <c r="G36" i="79"/>
  <c r="F36" i="79"/>
  <c r="E32" i="79"/>
  <c r="D36" i="79"/>
  <c r="C36" i="79"/>
  <c r="C7" i="79"/>
  <c r="D7" i="79" s="1"/>
  <c r="E7" i="79" s="1"/>
  <c r="F7" i="79" s="1"/>
  <c r="G7" i="79" s="1"/>
  <c r="H7" i="79" s="1"/>
  <c r="I7" i="79" s="1"/>
  <c r="J7" i="79" s="1"/>
  <c r="K7" i="79" s="1"/>
  <c r="L7" i="79" s="1"/>
  <c r="M7" i="79" s="1"/>
  <c r="N19" i="79" l="1"/>
  <c r="L40" i="79"/>
  <c r="L50" i="79" s="1"/>
  <c r="D45" i="79"/>
  <c r="L42" i="79"/>
  <c r="L47" i="79"/>
  <c r="J32" i="79"/>
  <c r="M44" i="79"/>
  <c r="E40" i="79"/>
  <c r="E46" i="79"/>
  <c r="M46" i="79"/>
  <c r="E42" i="79"/>
  <c r="M42" i="79"/>
  <c r="E47" i="79"/>
  <c r="N47" i="79" s="1"/>
  <c r="M47" i="79"/>
  <c r="E48" i="79"/>
  <c r="N48" i="79" s="1"/>
  <c r="M48" i="79"/>
  <c r="N11" i="79"/>
  <c r="H32" i="79"/>
  <c r="H40" i="79"/>
  <c r="M40" i="79"/>
  <c r="M50" i="79" s="1"/>
  <c r="N12" i="79"/>
  <c r="J44" i="79"/>
  <c r="F44" i="79"/>
  <c r="N14" i="79"/>
  <c r="N20" i="79"/>
  <c r="F46" i="79"/>
  <c r="N22" i="79"/>
  <c r="F42" i="79"/>
  <c r="F50" i="79" s="1"/>
  <c r="B43" i="79"/>
  <c r="J43" i="79"/>
  <c r="N43" i="79" s="1"/>
  <c r="F48" i="79"/>
  <c r="N30" i="79"/>
  <c r="E36" i="79"/>
  <c r="N8" i="79"/>
  <c r="N32" i="79" s="1"/>
  <c r="N24" i="79"/>
  <c r="N27" i="79"/>
  <c r="N49" i="79"/>
  <c r="D40" i="79"/>
  <c r="D50" i="79" s="1"/>
  <c r="L45" i="79"/>
  <c r="D42" i="79"/>
  <c r="D47" i="79"/>
  <c r="B32" i="79"/>
  <c r="E44" i="79"/>
  <c r="C39" i="79"/>
  <c r="C50" i="79" s="1"/>
  <c r="K39" i="79"/>
  <c r="K50" i="79" s="1"/>
  <c r="G39" i="79"/>
  <c r="G50" i="79" s="1"/>
  <c r="C44" i="79"/>
  <c r="K44" i="79"/>
  <c r="G44" i="79"/>
  <c r="G41" i="79"/>
  <c r="G46" i="79"/>
  <c r="G43" i="79"/>
  <c r="C43" i="79"/>
  <c r="K43" i="79"/>
  <c r="G48" i="79"/>
  <c r="M36" i="79"/>
  <c r="N45" i="79"/>
  <c r="N46" i="79"/>
  <c r="I50" i="79"/>
  <c r="N42" i="79"/>
  <c r="N37" i="79"/>
  <c r="N38" i="79"/>
  <c r="E50" i="79"/>
  <c r="N13" i="79"/>
  <c r="G32" i="79"/>
  <c r="N18" i="79"/>
  <c r="N15" i="79"/>
  <c r="N23" i="79"/>
  <c r="I32" i="79"/>
  <c r="H36" i="79"/>
  <c r="N28" i="79"/>
  <c r="N9" i="79"/>
  <c r="N17" i="79"/>
  <c r="N25" i="79"/>
  <c r="C32" i="79"/>
  <c r="K32" i="79"/>
  <c r="B36" i="79"/>
  <c r="J36" i="79"/>
  <c r="B44" i="79"/>
  <c r="N16" i="79"/>
  <c r="F32" i="79"/>
  <c r="N10" i="79"/>
  <c r="B39" i="79"/>
  <c r="D32" i="79"/>
  <c r="L32" i="79"/>
  <c r="B41" i="79"/>
  <c r="N21" i="79"/>
  <c r="N29" i="79"/>
  <c r="N31" i="79"/>
  <c r="N39" i="79" l="1"/>
  <c r="N40" i="79"/>
  <c r="N41" i="79"/>
  <c r="J50" i="79"/>
  <c r="H50" i="79"/>
  <c r="N44" i="79"/>
  <c r="B50" i="79"/>
  <c r="N36" i="79"/>
  <c r="N50" i="79" l="1"/>
  <c r="A12" i="75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E16" i="85" l="1"/>
  <c r="F13" i="75"/>
  <c r="F14" i="75" l="1"/>
  <c r="E17" i="85"/>
  <c r="F12" i="75"/>
  <c r="E15" i="85"/>
  <c r="F15" i="75"/>
  <c r="E25" i="85" l="1"/>
  <c r="F20" i="75" l="1"/>
  <c r="E22" i="85"/>
  <c r="F25" i="75"/>
  <c r="E26" i="85"/>
  <c r="E20" i="85"/>
  <c r="F19" i="75"/>
  <c r="E21" i="85"/>
  <c r="E32" i="85"/>
  <c r="E29" i="85"/>
  <c r="E34" i="85"/>
  <c r="E33" i="85"/>
  <c r="E30" i="85"/>
  <c r="F18" i="75"/>
  <c r="F24" i="75"/>
  <c r="F30" i="75"/>
  <c r="F33" i="75"/>
  <c r="F35" i="75"/>
  <c r="F31" i="75"/>
  <c r="F26" i="75" l="1"/>
  <c r="F21" i="75"/>
  <c r="F32" i="75"/>
  <c r="E31" i="85"/>
  <c r="E36" i="85" s="1"/>
  <c r="F34" i="75"/>
  <c r="F36" i="75" s="1"/>
  <c r="E15" i="1" l="1"/>
  <c r="G26" i="75" s="1"/>
  <c r="D16" i="1"/>
  <c r="D15" i="1"/>
  <c r="D14" i="1"/>
  <c r="D13" i="1"/>
  <c r="D12" i="1"/>
  <c r="D11" i="1"/>
  <c r="D17" i="1" s="1"/>
  <c r="H26" i="75" l="1"/>
  <c r="H24" i="75"/>
  <c r="I24" i="75" s="1"/>
  <c r="D25" i="85" s="1"/>
  <c r="F25" i="85" s="1"/>
  <c r="D22" i="69" s="1"/>
  <c r="H25" i="75"/>
  <c r="I25" i="75" s="1"/>
  <c r="E14" i="1"/>
  <c r="G21" i="75" s="1"/>
  <c r="E11" i="1"/>
  <c r="E13" i="1"/>
  <c r="G15" i="75" s="1"/>
  <c r="H12" i="75" s="1"/>
  <c r="I12" i="75" s="1"/>
  <c r="E16" i="1"/>
  <c r="G36" i="75" s="1"/>
  <c r="E12" i="1"/>
  <c r="D12" i="85" s="1"/>
  <c r="F12" i="85" s="1"/>
  <c r="D12" i="69" s="1"/>
  <c r="D11" i="85" l="1"/>
  <c r="F11" i="85" s="1"/>
  <c r="E17" i="1"/>
  <c r="D26" i="85"/>
  <c r="F26" i="85" s="1"/>
  <c r="D23" i="69" s="1"/>
  <c r="H19" i="75"/>
  <c r="I19" i="75" s="1"/>
  <c r="H20" i="75"/>
  <c r="I20" i="75" s="1"/>
  <c r="H18" i="75"/>
  <c r="I18" i="75" s="1"/>
  <c r="D20" i="85" s="1"/>
  <c r="F20" i="85" s="1"/>
  <c r="D18" i="69" s="1"/>
  <c r="H21" i="75"/>
  <c r="D15" i="85"/>
  <c r="H13" i="75"/>
  <c r="I13" i="75" s="1"/>
  <c r="H14" i="75"/>
  <c r="I14" i="75" s="1"/>
  <c r="H15" i="75"/>
  <c r="I26" i="75"/>
  <c r="H36" i="75"/>
  <c r="H35" i="75" s="1"/>
  <c r="I35" i="75" s="1"/>
  <c r="H31" i="75" s="1"/>
  <c r="I31" i="75" s="1"/>
  <c r="G11" i="85" l="1"/>
  <c r="D10" i="69" s="1"/>
  <c r="D9" i="69"/>
  <c r="D8" i="69"/>
  <c r="D21" i="85"/>
  <c r="F21" i="85" s="1"/>
  <c r="D19" i="69" s="1"/>
  <c r="F15" i="85"/>
  <c r="D14" i="69" s="1"/>
  <c r="D22" i="85"/>
  <c r="F22" i="85" s="1"/>
  <c r="D20" i="69" s="1"/>
  <c r="D17" i="85"/>
  <c r="F17" i="85" s="1"/>
  <c r="D16" i="69" s="1"/>
  <c r="D16" i="85"/>
  <c r="F16" i="85" s="1"/>
  <c r="D15" i="69" s="1"/>
  <c r="D30" i="85"/>
  <c r="F30" i="85" s="1"/>
  <c r="D26" i="69" s="1"/>
  <c r="D34" i="85"/>
  <c r="F34" i="85" s="1"/>
  <c r="D30" i="69" s="1"/>
  <c r="H32" i="75"/>
  <c r="I32" i="75" s="1"/>
  <c r="H30" i="75"/>
  <c r="I30" i="75" s="1"/>
  <c r="D29" i="85" s="1"/>
  <c r="F29" i="85" s="1"/>
  <c r="D25" i="69" s="1"/>
  <c r="I21" i="75"/>
  <c r="H33" i="75"/>
  <c r="I33" i="75" s="1"/>
  <c r="H34" i="75"/>
  <c r="I34" i="75" s="1"/>
  <c r="I15" i="75"/>
  <c r="A4" i="69"/>
  <c r="A2" i="69"/>
  <c r="D31" i="85" l="1"/>
  <c r="F31" i="85" s="1"/>
  <c r="D27" i="69" s="1"/>
  <c r="D33" i="85"/>
  <c r="F33" i="85" s="1"/>
  <c r="D29" i="69" s="1"/>
  <c r="D32" i="85"/>
  <c r="F32" i="85" s="1"/>
  <c r="D28" i="69" s="1"/>
  <c r="I36" i="75"/>
  <c r="D36" i="85" l="1"/>
  <c r="A6" i="67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12" i="1" l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<sst xmlns="http://schemas.openxmlformats.org/spreadsheetml/2006/main" count="1096" uniqueCount="427">
  <si>
    <t>Puget Sound Energy</t>
  </si>
  <si>
    <t>Proposed</t>
  </si>
  <si>
    <t>Revenue</t>
  </si>
  <si>
    <t>Rate per</t>
  </si>
  <si>
    <t>Rate Class</t>
  </si>
  <si>
    <t>Schedules</t>
  </si>
  <si>
    <t>Requirement</t>
  </si>
  <si>
    <t>Therm</t>
  </si>
  <si>
    <t>Residential</t>
  </si>
  <si>
    <t>16, 23, 53</t>
  </si>
  <si>
    <t>Commercial &amp; Industrial</t>
  </si>
  <si>
    <t>Large Volume</t>
  </si>
  <si>
    <t>Interruptible</t>
  </si>
  <si>
    <t>Limited Interruptible</t>
  </si>
  <si>
    <t>Non-exclusive Interruptible</t>
  </si>
  <si>
    <t>Contracts</t>
  </si>
  <si>
    <t>Total</t>
  </si>
  <si>
    <t>(a)</t>
  </si>
  <si>
    <t>(b)</t>
  </si>
  <si>
    <t>(c)</t>
  </si>
  <si>
    <t>(d)</t>
  </si>
  <si>
    <t>Line</t>
  </si>
  <si>
    <t>No.</t>
  </si>
  <si>
    <t>TOTAL</t>
  </si>
  <si>
    <t>Allocation</t>
  </si>
  <si>
    <t>A</t>
  </si>
  <si>
    <t>B</t>
  </si>
  <si>
    <t>C</t>
  </si>
  <si>
    <t>D</t>
  </si>
  <si>
    <t>H</t>
  </si>
  <si>
    <t>I</t>
  </si>
  <si>
    <t>J</t>
  </si>
  <si>
    <t>K</t>
  </si>
  <si>
    <t>L</t>
  </si>
  <si>
    <t>M</t>
  </si>
  <si>
    <t>N</t>
  </si>
  <si>
    <t>O</t>
  </si>
  <si>
    <t>2023 Gas Schedule 141LNG LNG Tracker Filing</t>
  </si>
  <si>
    <t>Rev Req = First rate year AMA balances as Nov 2023 - Oct 2024</t>
  </si>
  <si>
    <t>Ref #</t>
  </si>
  <si>
    <t>Item</t>
  </si>
  <si>
    <t>Rate Base</t>
  </si>
  <si>
    <t>Plant Balance</t>
  </si>
  <si>
    <t>Accumulated Depreciation</t>
  </si>
  <si>
    <t>Deffered Income Taxes</t>
  </si>
  <si>
    <t>Total Net Plant in Rate Base</t>
  </si>
  <si>
    <t>Deferrals</t>
  </si>
  <si>
    <t>Depreciation deferral balances (Account 182.3)</t>
  </si>
  <si>
    <t>O&amp;M deferral balance (Account 182.3)</t>
  </si>
  <si>
    <t>Accum Amortization on Depreciation Deferral</t>
  </si>
  <si>
    <t>Accum Amortization on O&amp;M Deferral</t>
  </si>
  <si>
    <t>ADFIT on Depreciation Deferral</t>
  </si>
  <si>
    <t>ADFIT on O&amp;M Deferral</t>
  </si>
  <si>
    <t>Net deferral rate base</t>
  </si>
  <si>
    <t>Total rate base</t>
  </si>
  <si>
    <t>Approved Rate of Return</t>
  </si>
  <si>
    <t>Approved Weighted Average Cost of Debt</t>
  </si>
  <si>
    <t>Statutory Federal Income Tax Rate</t>
  </si>
  <si>
    <t>Return on rate base</t>
  </si>
  <si>
    <t>Net Operating Income for:</t>
  </si>
  <si>
    <t>Operating and maintenance expenses (O&amp;M)</t>
  </si>
  <si>
    <t>Depreciation expense</t>
  </si>
  <si>
    <t>Amortization of deferrals for return, depreciation and O&amp;M</t>
  </si>
  <si>
    <t>Total before revenue sensitive fees and taxes</t>
  </si>
  <si>
    <t>Conversion Factor</t>
  </si>
  <si>
    <t>Total revenue requirement</t>
  </si>
  <si>
    <t>Line No.</t>
  </si>
  <si>
    <t>Description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</si>
  <si>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</si>
  <si>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</si>
  <si>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</si>
  <si>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</si>
  <si>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</si>
  <si>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</si>
  <si>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Check</t>
  </si>
  <si>
    <t>Intangible Plant</t>
  </si>
  <si>
    <t>Total Rate Base</t>
  </si>
  <si>
    <t>Tab C - Cost of Service Allocation Factors</t>
  </si>
  <si>
    <t>E</t>
  </si>
  <si>
    <t>F</t>
  </si>
  <si>
    <t>G</t>
  </si>
  <si>
    <t>Costs</t>
  </si>
  <si>
    <t>Acronym</t>
  </si>
  <si>
    <t>Functionalization</t>
  </si>
  <si>
    <t>Classification</t>
  </si>
  <si>
    <t>Customer Expenses</t>
  </si>
  <si>
    <t>Allocation of Account 903</t>
  </si>
  <si>
    <t>ACT_903</t>
  </si>
  <si>
    <t>Customer</t>
  </si>
  <si>
    <t>External Alloc</t>
  </si>
  <si>
    <t>All Mains Expenses</t>
  </si>
  <si>
    <t>Results of All Mains</t>
  </si>
  <si>
    <t>ALL_MAINS</t>
  </si>
  <si>
    <t>Various</t>
  </si>
  <si>
    <t>Internal Alloc</t>
  </si>
  <si>
    <t>Sales Revenue</t>
  </si>
  <si>
    <t>Commercial &amp; Industrial Sales Revenue</t>
  </si>
  <si>
    <t>C&amp;I_REV</t>
  </si>
  <si>
    <t>Common Expenses</t>
  </si>
  <si>
    <t>Weather Normalized Volumes</t>
  </si>
  <si>
    <t>COM_1</t>
  </si>
  <si>
    <t>Common</t>
  </si>
  <si>
    <t>Commodity</t>
  </si>
  <si>
    <t>Weather Normalized Volumes (excl. Transportation)</t>
  </si>
  <si>
    <t>COM1XT</t>
  </si>
  <si>
    <t>Distribution Plant</t>
  </si>
  <si>
    <t>Direct Assignment for Contracts</t>
  </si>
  <si>
    <t>CONTRACTS</t>
  </si>
  <si>
    <t>Demand</t>
  </si>
  <si>
    <t>Intangible Plant, Customer Expenses</t>
  </si>
  <si>
    <t>Average Customers</t>
  </si>
  <si>
    <t>CUST</t>
  </si>
  <si>
    <t>Other Rate Base</t>
  </si>
  <si>
    <t>Customer Deposit</t>
  </si>
  <si>
    <t>Cust_Deposit</t>
  </si>
  <si>
    <t>Customer Accounts</t>
  </si>
  <si>
    <t>CUSTACC</t>
  </si>
  <si>
    <t>Customers (excl. transport)</t>
  </si>
  <si>
    <t>CUSTXT</t>
  </si>
  <si>
    <t>Cust. Adv. in Aid of Construction (# cust)</t>
  </si>
  <si>
    <t>DIR_252</t>
  </si>
  <si>
    <t>Distr. Plant - Services</t>
  </si>
  <si>
    <t>DIR_380</t>
  </si>
  <si>
    <t>Distribution Expenses</t>
  </si>
  <si>
    <t>Distribution Maintenance Expenses Labor</t>
  </si>
  <si>
    <t>DIST_ML</t>
  </si>
  <si>
    <t>Distribution Operation Expenses Labor</t>
  </si>
  <si>
    <t>DIST_OL</t>
  </si>
  <si>
    <t>DISTPT</t>
  </si>
  <si>
    <t>Varous</t>
  </si>
  <si>
    <t>Mains &amp; Services</t>
  </si>
  <si>
    <t>DMAINS_SERV</t>
  </si>
  <si>
    <t>General Plant, Common Expenses</t>
  </si>
  <si>
    <t>General Plant</t>
  </si>
  <si>
    <t>GENPLT</t>
  </si>
  <si>
    <t>Production Plant, Natural Gas Storage &amp; Processing Plant, LNG Plant, Other Rate Base, Natural Gas Storage &amp; Processing Expenses</t>
  </si>
  <si>
    <t>Incremental Winter Sales Throughput</t>
  </si>
  <si>
    <t>INCR_WNTR</t>
  </si>
  <si>
    <t>INTGPLT</t>
  </si>
  <si>
    <t>Peak Day (excl. transport)</t>
  </si>
  <si>
    <t>LNGMAINS</t>
  </si>
  <si>
    <t>LNG Expenses</t>
  </si>
  <si>
    <t>LNG Plant</t>
  </si>
  <si>
    <t>LNGPLT</t>
  </si>
  <si>
    <t>Distribution Plant, Distribution Expenses</t>
  </si>
  <si>
    <t>Peak and Average for Mains</t>
  </si>
  <si>
    <t>MAINS</t>
  </si>
  <si>
    <t>Mains Plant</t>
  </si>
  <si>
    <t>MAINSPLT</t>
  </si>
  <si>
    <t>Meters &amp; House Regulators</t>
  </si>
  <si>
    <t>MRHREG</t>
  </si>
  <si>
    <t>Regulators - Acc 385</t>
  </si>
  <si>
    <t>MTRS_385</t>
  </si>
  <si>
    <t>Customer Meters - Acc 381</t>
  </si>
  <si>
    <t>MTRS_CUS</t>
  </si>
  <si>
    <t>Meters Installation - Acc 382</t>
  </si>
  <si>
    <t>MTRS_INST</t>
  </si>
  <si>
    <t>Other Rate Base, Common Expenses</t>
  </si>
  <si>
    <t>O&amp;M</t>
  </si>
  <si>
    <t>OM</t>
  </si>
  <si>
    <t>O&amp;M Labor</t>
  </si>
  <si>
    <t>OML</t>
  </si>
  <si>
    <t>Non-Firm Revenue</t>
  </si>
  <si>
    <t>Other Revenues</t>
  </si>
  <si>
    <t>OTHREV</t>
  </si>
  <si>
    <t>Intangible Plant, General Plant, Other Rate Base</t>
  </si>
  <si>
    <t>Total Plant w/o General Plant and Intangible Plant</t>
  </si>
  <si>
    <t>PLTxGN_INT</t>
  </si>
  <si>
    <t>Total Plant w/o Intangible Plant</t>
  </si>
  <si>
    <t>PLTxINT</t>
  </si>
  <si>
    <t>Production Plant</t>
  </si>
  <si>
    <t>PRODPT</t>
  </si>
  <si>
    <t>RATEBASE</t>
  </si>
  <si>
    <t>Residential Sales Revenue</t>
  </si>
  <si>
    <t>RES_REV</t>
  </si>
  <si>
    <t>All Plant, All Expenses</t>
  </si>
  <si>
    <t>Total Revenue Requirement w/ Gross-Up Items</t>
  </si>
  <si>
    <t>REVREQxGRSUP</t>
  </si>
  <si>
    <t>Services</t>
  </si>
  <si>
    <t>SERV</t>
  </si>
  <si>
    <t>Production Expenses, Natural Gas Storage &amp; Processing Expenses</t>
  </si>
  <si>
    <t>Storage Plant</t>
  </si>
  <si>
    <t>STORPT</t>
  </si>
  <si>
    <t>Sales Revenue, Common Expenses</t>
  </si>
  <si>
    <t>Sales &amp; Transportation Margin Revenue</t>
  </si>
  <si>
    <t>STREV</t>
  </si>
  <si>
    <t>Intangible Plant, Production Plant, Natural Gas Storage &amp; Processing Plant, Distribution Plant, General Plant, LNG Plant, Common Expenses</t>
  </si>
  <si>
    <t>Total Plant</t>
  </si>
  <si>
    <t>TOTPLT</t>
  </si>
  <si>
    <t>Transportation Revenue</t>
  </si>
  <si>
    <t>TRANSREV</t>
  </si>
  <si>
    <t xml:space="preserve">Uncollectibles </t>
  </si>
  <si>
    <t>UNCOLLECT</t>
  </si>
  <si>
    <t>Natural Gas Storage &amp; Processing Plant, Natural Gas Storage &amp; Processing Expenses</t>
  </si>
  <si>
    <t>Winter Throughput</t>
  </si>
  <si>
    <t>WNTR_COM</t>
  </si>
  <si>
    <t>COM</t>
  </si>
  <si>
    <t>Allocated</t>
  </si>
  <si>
    <t>Schedule 23</t>
  </si>
  <si>
    <t>Schedule 53</t>
  </si>
  <si>
    <t>Schedule 16</t>
  </si>
  <si>
    <t>Schedule 31 - Sales</t>
  </si>
  <si>
    <t>Schedule 41 - Sales</t>
  </si>
  <si>
    <t>Schedule 85 - Sales</t>
  </si>
  <si>
    <t>First 25,000 Therms</t>
  </si>
  <si>
    <t>Next 25,000 Therms</t>
  </si>
  <si>
    <t>Next 50,000 Therms</t>
  </si>
  <si>
    <t>Schedule 86 - Sales</t>
  </si>
  <si>
    <t>Schedule 87 - Sales</t>
  </si>
  <si>
    <t>Next 100,000 therms</t>
  </si>
  <si>
    <t>Next 300,000 therms</t>
  </si>
  <si>
    <t>All over 500,000 therms</t>
  </si>
  <si>
    <t>Sch. 141LNG Rates</t>
  </si>
  <si>
    <t>(e)</t>
  </si>
  <si>
    <t>Customer Class</t>
  </si>
  <si>
    <t>Rate Schedule</t>
  </si>
  <si>
    <t>Per therm</t>
  </si>
  <si>
    <t>Per Mantel</t>
  </si>
  <si>
    <t>Non-Exclusive Interruptible</t>
  </si>
  <si>
    <t>Summary of Rates</t>
  </si>
  <si>
    <t>Most Current Version as of:</t>
  </si>
  <si>
    <t>August 2021</t>
  </si>
  <si>
    <t>UG-220067</t>
  </si>
  <si>
    <t>Therms</t>
  </si>
  <si>
    <t>Sch. 141LNG</t>
  </si>
  <si>
    <t>Change</t>
  </si>
  <si>
    <t>Rates</t>
  </si>
  <si>
    <t>Current</t>
  </si>
  <si>
    <t>Tax Benefit of Interest (Line 21 x Line 24 x Line 25)</t>
  </si>
  <si>
    <t>Proposed Revenue Requirement</t>
  </si>
  <si>
    <t>Incremental</t>
  </si>
  <si>
    <t>Winter Sales</t>
  </si>
  <si>
    <t>Allocator</t>
  </si>
  <si>
    <t>First 900 therms</t>
  </si>
  <si>
    <t>Next 4,100 therms</t>
  </si>
  <si>
    <t>First 25,000 therms</t>
  </si>
  <si>
    <t>Next 25,000 therms</t>
  </si>
  <si>
    <t>Next 50,000 therms</t>
  </si>
  <si>
    <t>Over 500,000 therms</t>
  </si>
  <si>
    <t>% of Margin</t>
  </si>
  <si>
    <t>First 10,000 therms</t>
  </si>
  <si>
    <t>Over 10,000 therms</t>
  </si>
  <si>
    <t>Over 50,000 therms</t>
  </si>
  <si>
    <t>Over 5,000 therms</t>
  </si>
  <si>
    <t>(f)</t>
  </si>
  <si>
    <t>(g)</t>
  </si>
  <si>
    <t>Calculation of Schedule 141LNG Rates</t>
  </si>
  <si>
    <t>Allocation of Revenue Requirement</t>
  </si>
  <si>
    <r>
      <t xml:space="preserve">Requirement </t>
    </r>
    <r>
      <rPr>
        <b/>
        <vertAlign val="superscript"/>
        <sz val="10"/>
        <color theme="1"/>
        <rFont val="Arial"/>
        <family val="2"/>
      </rPr>
      <t>(1)</t>
    </r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</si>
  <si>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Allocated based on Incremental Winter Sales from most recent approved cost of service study (UG-220067).</t>
    </r>
  </si>
  <si>
    <t>Schedule 41 - Large Volume</t>
  </si>
  <si>
    <t>Schedule 85 - Interruptible</t>
  </si>
  <si>
    <t>Schedule 86 - Limited Interruptible</t>
  </si>
  <si>
    <t>Schedule 87 - Non-Exclusive Interruptible</t>
  </si>
  <si>
    <t>Base Rate</t>
  </si>
  <si>
    <t>Jan. 2024 -</t>
  </si>
  <si>
    <t>Dec. 2024</t>
  </si>
  <si>
    <t>2022 Gas General Rate Case Filing</t>
  </si>
  <si>
    <t xml:space="preserve">Forecasted Therms by Rate Schedule </t>
  </si>
  <si>
    <t>Rate Year Ended December 31, 2024</t>
  </si>
  <si>
    <t>SCH_016GR</t>
  </si>
  <si>
    <t>SCH_023G</t>
  </si>
  <si>
    <t>SCH_031GC</t>
  </si>
  <si>
    <t>SCH_031GI</t>
  </si>
  <si>
    <t>SCH_031GTC</t>
  </si>
  <si>
    <t>SCH_031GTI</t>
  </si>
  <si>
    <t>SCH_041GC</t>
  </si>
  <si>
    <t>SCH_041GI</t>
  </si>
  <si>
    <t>SCH_041GTC</t>
  </si>
  <si>
    <t>SCH_041GTI</t>
  </si>
  <si>
    <t>SCH_053G</t>
  </si>
  <si>
    <t>SCH_085GC</t>
  </si>
  <si>
    <t>SCH_085GI</t>
  </si>
  <si>
    <t>SCH_085GTC</t>
  </si>
  <si>
    <t>SCH_085GTI</t>
  </si>
  <si>
    <t>SCH_086GC</t>
  </si>
  <si>
    <t>SCH_086GI</t>
  </si>
  <si>
    <t>SCH_086GTC</t>
  </si>
  <si>
    <t>SCH_086GTI</t>
  </si>
  <si>
    <t>SCH_087GC</t>
  </si>
  <si>
    <t>SCH_087GI</t>
  </si>
  <si>
    <t>SCH_087GTC</t>
  </si>
  <si>
    <t>SCH_087GTI</t>
  </si>
  <si>
    <t>SCH_099GT</t>
  </si>
  <si>
    <t>Residential Lighting (16)</t>
  </si>
  <si>
    <t xml:space="preserve">Residential (23) </t>
  </si>
  <si>
    <t>Residential (53)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</si>
  <si>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</si>
  <si>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</si>
  <si>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</si>
  <si>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</si>
  <si>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</si>
  <si>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</si>
  <si>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</si>
  <si>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</si>
  <si>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interrupt with firm option (86T)</t>
  </si>
  <si>
    <t>Trans. non-exclus inter w/firm option (87T)</t>
  </si>
  <si>
    <t>Current and Proposed Rates by Rate Schedule (Schedules 31, 31T, 41 &amp; 41T)</t>
  </si>
  <si>
    <t xml:space="preserve">Billing </t>
  </si>
  <si>
    <t>Current Base Rates</t>
  </si>
  <si>
    <t>Proposed Base Rates</t>
  </si>
  <si>
    <t xml:space="preserve">Difference </t>
  </si>
  <si>
    <t>Target</t>
  </si>
  <si>
    <t>Units</t>
  </si>
  <si>
    <t>Determinants</t>
  </si>
  <si>
    <t>Revenues</t>
  </si>
  <si>
    <t>$</t>
  </si>
  <si>
    <t>%</t>
  </si>
  <si>
    <t>Increase</t>
  </si>
  <si>
    <t>TARGET 31/31T</t>
  </si>
  <si>
    <t>Basic Charge</t>
  </si>
  <si>
    <t>Bills</t>
  </si>
  <si>
    <t>Delivery Charge</t>
  </si>
  <si>
    <t>over (under)</t>
  </si>
  <si>
    <t>Procurement Charge</t>
  </si>
  <si>
    <t>Total Delivery Charges</t>
  </si>
  <si>
    <t>Total Base Revenues</t>
  </si>
  <si>
    <t>Schedule 31 - Transportation</t>
  </si>
  <si>
    <t>Schedule 31 - Total</t>
  </si>
  <si>
    <t>TARGET 41/41T</t>
  </si>
  <si>
    <t>Minimum Bill</t>
  </si>
  <si>
    <t>Demand Charge</t>
  </si>
  <si>
    <t>Delivery Charge:</t>
  </si>
  <si>
    <t>in minimum bills</t>
  </si>
  <si>
    <t>All over 5,000 therms</t>
  </si>
  <si>
    <t>Total Volume</t>
  </si>
  <si>
    <t>Schedule 41 - Transportation</t>
  </si>
  <si>
    <t>Schedule 41 - Total</t>
  </si>
  <si>
    <t>Commercial &amp; Industrial Summary</t>
  </si>
  <si>
    <t>Schedules 31, 31T</t>
  </si>
  <si>
    <t>Schedule 41, 41T</t>
  </si>
  <si>
    <t>Backup</t>
  </si>
  <si>
    <t>Delta</t>
  </si>
  <si>
    <t>Current and Proposed Rates by Rate Schedule (Schedules 85, 85T, 86, 86T, 87 &amp; 87T)</t>
  </si>
  <si>
    <t>TARGET 85/85T</t>
  </si>
  <si>
    <t>Minimum Bills</t>
  </si>
  <si>
    <t>All over 50,000 Therms</t>
  </si>
  <si>
    <t>Schedule 85 - Transportation</t>
  </si>
  <si>
    <t>Schedule 85 - Total</t>
  </si>
  <si>
    <t>TARGET 86/86T</t>
  </si>
  <si>
    <t>First 1,000 therms</t>
  </si>
  <si>
    <t>All over 1,000 therms</t>
  </si>
  <si>
    <t>Schedule 86 - Transportation</t>
  </si>
  <si>
    <t>Schedule 86 - Total</t>
  </si>
  <si>
    <t>TARGET 87/87T</t>
  </si>
  <si>
    <t xml:space="preserve"> 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</si>
  <si>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</si>
  <si>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</si>
  <si>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</si>
  <si>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</si>
  <si>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</si>
  <si>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</si>
  <si>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</si>
  <si>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</si>
  <si>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</si>
  <si>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(1) Schedule 101 rates in effective November 1, 2018</t>
  </si>
  <si>
    <t>Current and Proposed Rates by Rate Schedule (Schedules 16, 23 &amp; 53)</t>
  </si>
  <si>
    <t>TARGET</t>
  </si>
  <si>
    <t>Total Delivery Charge</t>
  </si>
  <si>
    <t>Mantles</t>
  </si>
  <si>
    <t>Calculated Total Therms</t>
  </si>
  <si>
    <t>Residential Summary</t>
  </si>
  <si>
    <t>Total Residential Base Revenues</t>
  </si>
  <si>
    <t>Base Rates</t>
  </si>
  <si>
    <t>Sch. 16</t>
  </si>
  <si>
    <t>Mantle</t>
  </si>
  <si>
    <t>(e) = (c) / (d)</t>
  </si>
  <si>
    <t>(f) = (e) * 19</t>
  </si>
  <si>
    <t>Allocation of Revenue Requirement to Rate Blocks</t>
  </si>
  <si>
    <t>Gas Rate Spread &amp; Design Work Paper</t>
  </si>
  <si>
    <t>Rate Spread and Schedule 141R and 141N Allocation</t>
  </si>
  <si>
    <t>Forecasted Therms by Rate Block</t>
  </si>
  <si>
    <t>Schedule Number</t>
  </si>
  <si>
    <t>41G-C</t>
  </si>
  <si>
    <t xml:space="preserve">First 900 therms or less  </t>
  </si>
  <si>
    <t>41G-I</t>
  </si>
  <si>
    <t>41T-C</t>
  </si>
  <si>
    <t>41T-I</t>
  </si>
  <si>
    <t>85G-C</t>
  </si>
  <si>
    <t>All over 50,000 therms</t>
  </si>
  <si>
    <t>85G-I</t>
  </si>
  <si>
    <t>85T-C</t>
  </si>
  <si>
    <t>85T-I</t>
  </si>
  <si>
    <t>86G-C</t>
  </si>
  <si>
    <t>86G-I</t>
  </si>
  <si>
    <t>86TG-C</t>
  </si>
  <si>
    <t>86TG-I</t>
  </si>
  <si>
    <t>87G-C</t>
  </si>
  <si>
    <t>87G-I</t>
  </si>
  <si>
    <t>87T-C</t>
  </si>
  <si>
    <t>87T-I</t>
  </si>
  <si>
    <t>Index</t>
  </si>
  <si>
    <t>Work Sheet</t>
  </si>
  <si>
    <t>Category</t>
  </si>
  <si>
    <t>Rate Summary</t>
  </si>
  <si>
    <t>Work Paper</t>
  </si>
  <si>
    <t>Summary of rates by schedule</t>
  </si>
  <si>
    <t>Exh JDT-5 (JDT-INTRPL-RD)</t>
  </si>
  <si>
    <t>2022 GRC Development of interruptible schedule base rates</t>
  </si>
  <si>
    <t>RY#2 Therms</t>
  </si>
  <si>
    <t>Dependent (Linked) Work Papers</t>
  </si>
  <si>
    <t>Precedent (Linked) Work Papers</t>
  </si>
  <si>
    <t>Rate Design</t>
  </si>
  <si>
    <t>Rate Design (Blocks)</t>
  </si>
  <si>
    <t>Rate Spread</t>
  </si>
  <si>
    <t>Development of Sch. 141LNG rates</t>
  </si>
  <si>
    <t>Allocation of Sch. 141LNG revenue requirement to schedules with rate blocks</t>
  </si>
  <si>
    <t>Allocation of Sch. 141LNG revenue requirement to rate schedules</t>
  </si>
  <si>
    <t>Exhibit JDT-3</t>
  </si>
  <si>
    <t>RY#2 Therms by Block</t>
  </si>
  <si>
    <t>2022 GRC CY2024 therms</t>
  </si>
  <si>
    <t>Exh JDT-5 (JDT-RES-RD)</t>
  </si>
  <si>
    <t>Exh JDT-5 (JDT-C&amp;I-RD)</t>
  </si>
  <si>
    <t>C-COS Allocation Factors (PSE)</t>
  </si>
  <si>
    <t>2022 GRC Development of residential schedule base rates</t>
  </si>
  <si>
    <t xml:space="preserve">2022 GRC CY2024 rate block therms </t>
  </si>
  <si>
    <t>2022 GRC Development of commercial and industrial schedule base rates</t>
  </si>
  <si>
    <t>2022 GRC Cost of Service Study allocation factors</t>
  </si>
  <si>
    <t>Exh SEF-3 Summary</t>
  </si>
  <si>
    <t>Exhibit SEF-3 Schedule 141LNG revenue requirement</t>
  </si>
  <si>
    <t>NEW-PSE-WP-JDT-7-GAS-BILL-IMPACTS-05-2023</t>
  </si>
  <si>
    <t>Deferral = O&amp;M, Depreciation, and Return for the period Feb 2022 - Oct 2023</t>
  </si>
  <si>
    <t xml:space="preserve">Staff </t>
  </si>
  <si>
    <t>As filed Revenue</t>
  </si>
  <si>
    <t>Recommended</t>
  </si>
  <si>
    <t>Difference</t>
  </si>
  <si>
    <t>Proposed Rates Effective May 11,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</si>
</sst>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00000"/>
    <numFmt numFmtId="169" formatCode="_(&quot;$&quot;* #,##0.00000_);_(&quot;$&quot;* \(#,##0.00000\);_(&quot;$&quot;* &quot;-&quot;?????_);_(@_)"/>
    <numFmt numFmtId="170" formatCode="&quot;$&quot;#,##0.00\ ;\(&quot;$&quot;#,##0.00\)"/>
    <numFmt numFmtId="171" formatCode="0.000%"/>
    <numFmt numFmtId="172" formatCode="&quot;$&quot;#,##0\ ;\(&quot;$&quot;#,##0\)"/>
    <numFmt numFmtId="173" formatCode="&quot;$&quot;#,##0.00000\ ;\(&quot;$&quot;#,##0.00000\)"/>
    <numFmt numFmtId="174" formatCode="#,##0.0"/>
    <numFmt numFmtId="175" formatCode="&quot;$&quot;#,##0"/>
    <numFmt numFmtId="176" formatCode="0.0000%"/>
    <numFmt numFmtId="177" formatCode="&quot;$&quot;#,##0.00000000_);\(&quot;$&quot;#,##0.00000000\)"/>
    <numFmt numFmtId="178" formatCode="&quot;$&quot;#,##0.0000\ ;\(&quot;$&quot;#,##0.0000\)"/>
    <numFmt numFmtId="179" formatCode="[$-409]mmm\-yy;@"/>
    <numFmt numFmtId="180" formatCode="_(&quot;$&quot;* #,##0.000000_);_(&quot;$&quot;* \(#,##0.0000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9" fontId="17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42" fontId="3" fillId="0" borderId="0" xfId="0" applyNumberFormat="1" applyFont="1" applyFill="1"/>
    <xf numFmtId="0" fontId="7" fillId="0" borderId="0" xfId="0" applyFont="1" applyAlignment="1">
      <alignment horizontal="center"/>
    </xf>
    <xf numFmtId="49" fontId="3" fillId="0" borderId="0" xfId="0" applyNumberFormat="1" applyFont="1"/>
    <xf numFmtId="0" fontId="8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37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0" fontId="3" fillId="0" borderId="0" xfId="0" applyNumberFormat="1" applyFont="1"/>
    <xf numFmtId="43" fontId="3" fillId="0" borderId="0" xfId="0" applyNumberFormat="1" applyFont="1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/>
    <xf numFmtId="0" fontId="9" fillId="0" borderId="0" xfId="0" applyFont="1" applyFill="1"/>
    <xf numFmtId="0" fontId="6" fillId="0" borderId="0" xfId="0" applyFont="1" applyFill="1"/>
    <xf numFmtId="0" fontId="4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quotePrefix="1" applyFont="1" applyAlignment="1"/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/>
    <xf numFmtId="0" fontId="4" fillId="0" borderId="9" xfId="0" applyFont="1" applyBorder="1" applyAlignment="1"/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/>
    <xf numFmtId="44" fontId="4" fillId="0" borderId="10" xfId="0" applyNumberFormat="1" applyFont="1" applyBorder="1" applyAlignment="1"/>
    <xf numFmtId="165" fontId="4" fillId="0" borderId="9" xfId="0" applyNumberFormat="1" applyFont="1" applyBorder="1" applyAlignment="1"/>
    <xf numFmtId="167" fontId="3" fillId="0" borderId="0" xfId="0" applyNumberFormat="1" applyFont="1" applyFill="1"/>
    <xf numFmtId="167" fontId="5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169" fontId="4" fillId="0" borderId="0" xfId="0" applyNumberFormat="1" applyFont="1" applyFill="1"/>
    <xf numFmtId="167" fontId="4" fillId="0" borderId="0" xfId="0" applyNumberFormat="1" applyFont="1" applyFill="1"/>
    <xf numFmtId="167" fontId="4" fillId="0" borderId="2" xfId="0" applyNumberFormat="1" applyFont="1" applyFill="1" applyBorder="1"/>
    <xf numFmtId="167" fontId="4" fillId="0" borderId="4" xfId="0" applyNumberFormat="1" applyFont="1" applyFill="1" applyBorder="1"/>
    <xf numFmtId="3" fontId="7" fillId="0" borderId="2" xfId="0" applyNumberFormat="1" applyFont="1" applyFill="1" applyBorder="1"/>
    <xf numFmtId="167" fontId="11" fillId="0" borderId="0" xfId="0" applyNumberFormat="1" applyFont="1" applyFill="1"/>
    <xf numFmtId="167" fontId="4" fillId="0" borderId="0" xfId="0" applyNumberFormat="1" applyFont="1" applyFill="1" applyBorder="1"/>
    <xf numFmtId="164" fontId="7" fillId="0" borderId="0" xfId="0" applyNumberFormat="1" applyFont="1" applyFill="1"/>
    <xf numFmtId="164" fontId="4" fillId="0" borderId="0" xfId="0" applyNumberFormat="1" applyFont="1" applyFill="1"/>
    <xf numFmtId="169" fontId="12" fillId="0" borderId="0" xfId="0" applyNumberFormat="1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1" xfId="0" applyFont="1" applyFill="1" applyBorder="1"/>
    <xf numFmtId="3" fontId="11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7" fillId="0" borderId="0" xfId="0" applyNumberFormat="1" applyFont="1" applyFill="1"/>
    <xf numFmtId="10" fontId="7" fillId="0" borderId="2" xfId="0" applyNumberFormat="1" applyFont="1" applyBorder="1" applyAlignment="1">
      <alignment horizontal="center"/>
    </xf>
    <xf numFmtId="167" fontId="7" fillId="0" borderId="2" xfId="0" applyNumberFormat="1" applyFont="1" applyFill="1" applyBorder="1"/>
    <xf numFmtId="167" fontId="11" fillId="0" borderId="0" xfId="0" applyNumberFormat="1" applyFont="1" applyFill="1"/>
    <xf numFmtId="0" fontId="7" fillId="0" borderId="0" xfId="0" applyFont="1" applyFill="1"/>
    <xf numFmtId="10" fontId="11" fillId="0" borderId="0" xfId="0" applyNumberFormat="1" applyFont="1" applyAlignment="1">
      <alignment horizontal="center"/>
    </xf>
    <xf numFmtId="0" fontId="4" fillId="0" borderId="0" xfId="2" applyFont="1" applyFill="1"/>
    <xf numFmtId="0" fontId="4" fillId="0" borderId="0" xfId="2" applyFont="1" applyFill="1" applyBorder="1"/>
    <xf numFmtId="0" fontId="6" fillId="0" borderId="0" xfId="2" applyFont="1" applyFill="1"/>
    <xf numFmtId="0" fontId="4" fillId="0" borderId="1" xfId="2" applyFont="1" applyFill="1" applyBorder="1" applyAlignment="1">
      <alignment horizontal="center"/>
    </xf>
    <xf numFmtId="17" fontId="7" fillId="0" borderId="1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3" fontId="11" fillId="0" borderId="0" xfId="2" applyNumberFormat="1" applyFont="1" applyFill="1" applyBorder="1"/>
    <xf numFmtId="3" fontId="4" fillId="0" borderId="0" xfId="2" applyNumberFormat="1" applyFont="1" applyFill="1" applyBorder="1"/>
    <xf numFmtId="166" fontId="18" fillId="0" borderId="0" xfId="2" applyNumberFormat="1" applyFont="1" applyFill="1"/>
    <xf numFmtId="166" fontId="7" fillId="0" borderId="2" xfId="2" applyNumberFormat="1" applyFont="1" applyFill="1" applyBorder="1"/>
    <xf numFmtId="43" fontId="19" fillId="0" borderId="0" xfId="2" applyNumberFormat="1" applyFont="1" applyFill="1" applyBorder="1"/>
    <xf numFmtId="3" fontId="4" fillId="0" borderId="0" xfId="2" applyNumberFormat="1" applyFont="1" applyFill="1"/>
    <xf numFmtId="0" fontId="4" fillId="0" borderId="0" xfId="2" applyFont="1" applyFill="1" applyAlignment="1">
      <alignment horizontal="left"/>
    </xf>
    <xf numFmtId="3" fontId="4" fillId="0" borderId="2" xfId="2" applyNumberFormat="1" applyFont="1" applyFill="1" applyBorder="1"/>
    <xf numFmtId="43" fontId="19" fillId="0" borderId="0" xfId="2" applyNumberFormat="1" applyFont="1" applyFill="1"/>
    <xf numFmtId="0" fontId="9" fillId="0" borderId="0" xfId="2" applyFont="1" applyFill="1"/>
    <xf numFmtId="0" fontId="19" fillId="0" borderId="0" xfId="2" applyFont="1"/>
    <xf numFmtId="0" fontId="6" fillId="0" borderId="0" xfId="0" applyFont="1" applyAlignment="1"/>
    <xf numFmtId="170" fontId="4" fillId="0" borderId="0" xfId="0" applyNumberFormat="1" applyFont="1"/>
    <xf numFmtId="164" fontId="4" fillId="0" borderId="0" xfId="0" applyNumberFormat="1" applyFont="1"/>
    <xf numFmtId="171" fontId="4" fillId="0" borderId="0" xfId="0" applyNumberFormat="1" applyFont="1" applyAlignment="1">
      <alignment horizontal="left"/>
    </xf>
    <xf numFmtId="171" fontId="4" fillId="0" borderId="0" xfId="0" applyNumberFormat="1" applyFont="1"/>
    <xf numFmtId="0" fontId="4" fillId="0" borderId="0" xfId="0" applyFont="1" applyAlignment="1">
      <alignment horizontal="centerContinuous"/>
    </xf>
    <xf numFmtId="170" fontId="4" fillId="0" borderId="0" xfId="0" applyNumberFormat="1" applyFont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71" fontId="4" fillId="0" borderId="0" xfId="0" applyNumberFormat="1" applyFont="1" applyAlignment="1">
      <alignment horizontal="centerContinuous"/>
    </xf>
    <xf numFmtId="171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70" fontId="4" fillId="0" borderId="0" xfId="0" applyNumberFormat="1" applyFont="1" applyAlignment="1"/>
    <xf numFmtId="3" fontId="4" fillId="0" borderId="1" xfId="0" applyNumberFormat="1" applyFont="1" applyFill="1" applyBorder="1" applyAlignment="1"/>
    <xf numFmtId="164" fontId="4" fillId="0" borderId="0" xfId="0" applyNumberFormat="1" applyFont="1" applyAlignment="1"/>
    <xf numFmtId="171" fontId="4" fillId="0" borderId="0" xfId="0" applyNumberFormat="1" applyFont="1" applyBorder="1"/>
    <xf numFmtId="0" fontId="4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170" fontId="4" fillId="0" borderId="4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170" fontId="4" fillId="0" borderId="2" xfId="0" applyNumberFormat="1" applyFont="1" applyBorder="1" applyAlignment="1">
      <alignment horizontal="left"/>
    </xf>
    <xf numFmtId="170" fontId="4" fillId="0" borderId="0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71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5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/>
    <xf numFmtId="172" fontId="4" fillId="0" borderId="4" xfId="0" applyNumberFormat="1" applyFont="1" applyBorder="1"/>
    <xf numFmtId="3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6" xfId="0" applyNumberFormat="1" applyFont="1" applyBorder="1"/>
    <xf numFmtId="164" fontId="4" fillId="0" borderId="0" xfId="0" applyNumberFormat="1" applyFont="1" applyBorder="1" applyAlignment="1">
      <alignment horizontal="left"/>
    </xf>
    <xf numFmtId="0" fontId="4" fillId="0" borderId="14" xfId="0" applyFont="1" applyBorder="1"/>
    <xf numFmtId="3" fontId="4" fillId="0" borderId="0" xfId="0" applyNumberFormat="1" applyFont="1" applyBorder="1"/>
    <xf numFmtId="172" fontId="4" fillId="0" borderId="0" xfId="0" applyNumberFormat="1" applyFont="1" applyBorder="1"/>
    <xf numFmtId="3" fontId="4" fillId="0" borderId="0" xfId="0" applyNumberFormat="1" applyFont="1" applyFill="1" applyBorder="1"/>
    <xf numFmtId="164" fontId="4" fillId="0" borderId="15" xfId="0" applyNumberFormat="1" applyFont="1" applyBorder="1"/>
    <xf numFmtId="0" fontId="7" fillId="0" borderId="7" xfId="0" applyFont="1" applyBorder="1" applyAlignment="1">
      <alignment horizontal="center"/>
    </xf>
    <xf numFmtId="0" fontId="4" fillId="0" borderId="1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0" fontId="4" fillId="0" borderId="0" xfId="0" applyNumberFormat="1" applyFont="1" applyFill="1" applyBorder="1"/>
    <xf numFmtId="170" fontId="12" fillId="0" borderId="0" xfId="0" applyNumberFormat="1" applyFont="1" applyFill="1" applyBorder="1"/>
    <xf numFmtId="172" fontId="4" fillId="0" borderId="0" xfId="0" applyNumberFormat="1" applyFont="1" applyFill="1" applyBorder="1"/>
    <xf numFmtId="172" fontId="14" fillId="0" borderId="10" xfId="0" applyNumberFormat="1" applyFont="1" applyFill="1" applyBorder="1" applyAlignment="1">
      <alignment horizontal="center"/>
    </xf>
    <xf numFmtId="173" fontId="4" fillId="0" borderId="0" xfId="0" applyNumberFormat="1" applyFont="1" applyFill="1" applyBorder="1"/>
    <xf numFmtId="173" fontId="12" fillId="0" borderId="0" xfId="0" applyNumberFormat="1" applyFont="1" applyFill="1" applyBorder="1"/>
    <xf numFmtId="172" fontId="4" fillId="0" borderId="10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right"/>
    </xf>
    <xf numFmtId="172" fontId="4" fillId="0" borderId="9" xfId="0" applyNumberFormat="1" applyFont="1" applyFill="1" applyBorder="1" applyAlignment="1">
      <alignment horizontal="center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172" fontId="4" fillId="0" borderId="2" xfId="0" applyNumberFormat="1" applyFont="1" applyBorder="1"/>
    <xf numFmtId="172" fontId="4" fillId="0" borderId="2" xfId="0" applyNumberFormat="1" applyFont="1" applyFill="1" applyBorder="1"/>
    <xf numFmtId="164" fontId="4" fillId="0" borderId="16" xfId="0" applyNumberFormat="1" applyFont="1" applyBorder="1"/>
    <xf numFmtId="10" fontId="13" fillId="0" borderId="0" xfId="0" applyNumberFormat="1" applyFont="1" applyFill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74" fontId="4" fillId="0" borderId="0" xfId="0" applyNumberFormat="1" applyFont="1" applyFill="1" applyBorder="1"/>
    <xf numFmtId="9" fontId="4" fillId="0" borderId="0" xfId="0" applyNumberFormat="1" applyFont="1" applyFill="1" applyBorder="1"/>
    <xf numFmtId="0" fontId="4" fillId="0" borderId="12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Fill="1" applyBorder="1"/>
    <xf numFmtId="170" fontId="4" fillId="0" borderId="1" xfId="0" applyNumberFormat="1" applyFont="1" applyFill="1" applyBorder="1" applyAlignment="1">
      <alignment horizontal="center"/>
    </xf>
    <xf numFmtId="172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/>
    <xf numFmtId="172" fontId="4" fillId="0" borderId="1" xfId="0" applyNumberFormat="1" applyFont="1" applyFill="1" applyBorder="1"/>
    <xf numFmtId="172" fontId="4" fillId="0" borderId="1" xfId="0" applyNumberFormat="1" applyFont="1" applyBorder="1"/>
    <xf numFmtId="164" fontId="4" fillId="0" borderId="13" xfId="0" applyNumberFormat="1" applyFont="1" applyBorder="1"/>
    <xf numFmtId="172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6" fillId="0" borderId="5" xfId="0" applyFont="1" applyFill="1" applyBorder="1" applyProtection="1">
      <protection locked="0"/>
    </xf>
    <xf numFmtId="170" fontId="4" fillId="0" borderId="0" xfId="0" applyNumberFormat="1" applyFont="1" applyBorder="1"/>
    <xf numFmtId="170" fontId="13" fillId="0" borderId="0" xfId="0" applyNumberFormat="1" applyFont="1" applyFill="1" applyBorder="1"/>
    <xf numFmtId="173" fontId="13" fillId="0" borderId="0" xfId="0" applyNumberFormat="1" applyFont="1" applyFill="1" applyBorder="1"/>
    <xf numFmtId="0" fontId="4" fillId="0" borderId="14" xfId="0" applyFont="1" applyFill="1" applyBorder="1"/>
    <xf numFmtId="3" fontId="4" fillId="0" borderId="0" xfId="0" applyNumberFormat="1" applyFont="1" applyFill="1" applyBorder="1" applyProtection="1">
      <protection locked="0"/>
    </xf>
    <xf numFmtId="0" fontId="7" fillId="0" borderId="7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172" fontId="4" fillId="0" borderId="10" xfId="0" applyNumberFormat="1" applyFont="1" applyFill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164" fontId="4" fillId="0" borderId="15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71" fontId="4" fillId="0" borderId="0" xfId="0" applyNumberFormat="1" applyFont="1" applyFill="1" applyBorder="1"/>
    <xf numFmtId="165" fontId="4" fillId="0" borderId="0" xfId="0" applyNumberFormat="1" applyFont="1" applyBorder="1"/>
    <xf numFmtId="172" fontId="4" fillId="0" borderId="2" xfId="0" applyNumberFormat="1" applyFont="1" applyBorder="1" applyAlignment="1">
      <alignment horizontal="right"/>
    </xf>
    <xf numFmtId="173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>
      <alignment horizontal="center"/>
    </xf>
    <xf numFmtId="0" fontId="4" fillId="0" borderId="12" xfId="0" applyFont="1" applyFill="1" applyBorder="1"/>
    <xf numFmtId="164" fontId="4" fillId="0" borderId="13" xfId="0" applyNumberFormat="1" applyFont="1" applyFill="1" applyBorder="1"/>
    <xf numFmtId="17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8" fontId="4" fillId="0" borderId="0" xfId="0" applyNumberFormat="1" applyFont="1" applyBorder="1"/>
    <xf numFmtId="3" fontId="4" fillId="0" borderId="1" xfId="0" applyNumberFormat="1" applyFont="1" applyFill="1" applyBorder="1"/>
    <xf numFmtId="172" fontId="4" fillId="0" borderId="0" xfId="0" applyNumberFormat="1" applyFont="1"/>
    <xf numFmtId="0" fontId="6" fillId="0" borderId="0" xfId="0" applyFont="1"/>
    <xf numFmtId="173" fontId="4" fillId="0" borderId="0" xfId="0" applyNumberFormat="1" applyFont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5" fontId="4" fillId="0" borderId="0" xfId="0" applyNumberFormat="1" applyFont="1"/>
    <xf numFmtId="175" fontId="4" fillId="0" borderId="0" xfId="0" applyNumberFormat="1" applyFont="1" applyFill="1"/>
    <xf numFmtId="175" fontId="4" fillId="0" borderId="0" xfId="0" applyNumberFormat="1" applyFont="1" applyBorder="1"/>
    <xf numFmtId="175" fontId="4" fillId="0" borderId="0" xfId="0" applyNumberFormat="1" applyFont="1" applyAlignment="1">
      <alignment horizontal="left"/>
    </xf>
    <xf numFmtId="3" fontId="4" fillId="0" borderId="0" xfId="0" applyNumberFormat="1" applyFont="1"/>
    <xf numFmtId="166" fontId="4" fillId="0" borderId="2" xfId="0" applyNumberFormat="1" applyFont="1" applyBorder="1"/>
    <xf numFmtId="175" fontId="4" fillId="0" borderId="2" xfId="0" applyNumberFormat="1" applyFont="1" applyBorder="1"/>
    <xf numFmtId="0" fontId="4" fillId="0" borderId="17" xfId="0" applyFont="1" applyBorder="1"/>
    <xf numFmtId="0" fontId="4" fillId="0" borderId="18" xfId="0" applyFont="1" applyBorder="1"/>
    <xf numFmtId="167" fontId="4" fillId="0" borderId="18" xfId="0" applyNumberFormat="1" applyFont="1" applyBorder="1"/>
    <xf numFmtId="172" fontId="4" fillId="0" borderId="19" xfId="0" applyNumberFormat="1" applyFont="1" applyBorder="1"/>
    <xf numFmtId="166" fontId="4" fillId="0" borderId="0" xfId="0" applyNumberFormat="1" applyFont="1"/>
    <xf numFmtId="173" fontId="4" fillId="0" borderId="0" xfId="0" applyNumberFormat="1" applyFont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170" fontId="4" fillId="0" borderId="0" xfId="0" applyNumberFormat="1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20" fillId="0" borderId="0" xfId="0" applyFont="1" applyBorder="1" applyAlignment="1">
      <alignment horizontal="left"/>
    </xf>
    <xf numFmtId="173" fontId="4" fillId="0" borderId="0" xfId="0" applyNumberFormat="1" applyFont="1" applyBorder="1"/>
    <xf numFmtId="171" fontId="4" fillId="0" borderId="0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171" fontId="4" fillId="0" borderId="13" xfId="0" applyNumberFormat="1" applyFont="1" applyBorder="1" applyAlignment="1">
      <alignment horizontal="center"/>
    </xf>
    <xf numFmtId="171" fontId="4" fillId="0" borderId="15" xfId="0" applyNumberFormat="1" applyFont="1" applyBorder="1" applyAlignment="1">
      <alignment horizontal="right"/>
    </xf>
    <xf numFmtId="173" fontId="4" fillId="0" borderId="4" xfId="0" applyNumberFormat="1" applyFont="1" applyBorder="1"/>
    <xf numFmtId="3" fontId="4" fillId="0" borderId="4" xfId="0" applyNumberFormat="1" applyFont="1" applyFill="1" applyBorder="1" applyProtection="1">
      <protection locked="0"/>
    </xf>
    <xf numFmtId="170" fontId="4" fillId="0" borderId="4" xfId="0" applyNumberFormat="1" applyFont="1" applyFill="1" applyBorder="1"/>
    <xf numFmtId="170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72" fontId="4" fillId="0" borderId="9" xfId="0" applyNumberFormat="1" applyFont="1" applyBorder="1" applyAlignment="1">
      <alignment horizontal="center"/>
    </xf>
    <xf numFmtId="172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7" fontId="4" fillId="0" borderId="0" xfId="0" applyNumberFormat="1" applyFont="1"/>
    <xf numFmtId="9" fontId="13" fillId="0" borderId="0" xfId="0" applyNumberFormat="1" applyFont="1" applyFill="1" applyBorder="1"/>
    <xf numFmtId="172" fontId="4" fillId="0" borderId="2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7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73" fontId="4" fillId="0" borderId="1" xfId="0" applyNumberFormat="1" applyFont="1" applyBorder="1"/>
    <xf numFmtId="170" fontId="4" fillId="0" borderId="1" xfId="0" applyNumberFormat="1" applyFont="1" applyFill="1" applyBorder="1"/>
    <xf numFmtId="170" fontId="4" fillId="0" borderId="1" xfId="0" applyNumberFormat="1" applyFont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2" fontId="4" fillId="0" borderId="4" xfId="0" applyNumberFormat="1" applyFont="1" applyFill="1" applyBorder="1"/>
    <xf numFmtId="170" fontId="4" fillId="0" borderId="4" xfId="0" applyNumberFormat="1" applyFont="1" applyFill="1" applyBorder="1" applyAlignment="1">
      <alignment horizontal="right"/>
    </xf>
    <xf numFmtId="0" fontId="6" fillId="0" borderId="0" xfId="0" applyFont="1" applyFill="1" applyBorder="1" applyProtection="1">
      <protection locked="0"/>
    </xf>
    <xf numFmtId="172" fontId="4" fillId="0" borderId="0" xfId="0" applyNumberFormat="1" applyFont="1" applyFill="1" applyBorder="1" applyProtection="1">
      <protection locked="0"/>
    </xf>
    <xf numFmtId="172" fontId="4" fillId="0" borderId="1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left"/>
    </xf>
    <xf numFmtId="173" fontId="4" fillId="0" borderId="1" xfId="0" applyNumberFormat="1" applyFont="1" applyFill="1" applyBorder="1"/>
    <xf numFmtId="170" fontId="4" fillId="0" borderId="1" xfId="0" applyNumberFormat="1" applyFont="1" applyFill="1" applyBorder="1" applyAlignment="1">
      <alignment horizontal="right"/>
    </xf>
    <xf numFmtId="172" fontId="4" fillId="0" borderId="4" xfId="0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3" fontId="4" fillId="0" borderId="0" xfId="0" applyNumberFormat="1" applyFont="1" applyBorder="1" applyAlignment="1">
      <alignment horizontal="center"/>
    </xf>
    <xf numFmtId="10" fontId="7" fillId="0" borderId="8" xfId="1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173" fontId="4" fillId="0" borderId="1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72" fontId="14" fillId="0" borderId="1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4" fillId="0" borderId="8" xfId="1" applyNumberFormat="1" applyFont="1" applyFill="1" applyBorder="1" applyAlignment="1">
      <alignment horizontal="center"/>
    </xf>
    <xf numFmtId="176" fontId="13" fillId="0" borderId="0" xfId="0" applyNumberFormat="1" applyFont="1" applyFill="1" applyBorder="1"/>
    <xf numFmtId="0" fontId="4" fillId="0" borderId="4" xfId="0" applyFont="1" applyFill="1" applyBorder="1" applyProtection="1">
      <protection locked="0"/>
    </xf>
    <xf numFmtId="164" fontId="4" fillId="0" borderId="6" xfId="0" applyNumberFormat="1" applyFont="1" applyFill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70" fontId="4" fillId="0" borderId="1" xfId="0" applyNumberFormat="1" applyFont="1" applyBorder="1"/>
    <xf numFmtId="5" fontId="4" fillId="0" borderId="0" xfId="0" applyNumberFormat="1" applyFont="1" applyFill="1" applyBorder="1"/>
    <xf numFmtId="5" fontId="4" fillId="0" borderId="0" xfId="0" applyNumberFormat="1" applyFont="1" applyBorder="1"/>
    <xf numFmtId="5" fontId="4" fillId="0" borderId="2" xfId="0" applyNumberFormat="1" applyFont="1" applyFill="1" applyBorder="1"/>
    <xf numFmtId="5" fontId="4" fillId="0" borderId="2" xfId="0" applyNumberFormat="1" applyFont="1" applyBorder="1"/>
    <xf numFmtId="5" fontId="4" fillId="0" borderId="0" xfId="0" applyNumberFormat="1" applyFont="1" applyFill="1"/>
    <xf numFmtId="5" fontId="4" fillId="0" borderId="0" xfId="0" applyNumberFormat="1" applyFont="1" applyFill="1" applyBorder="1" applyAlignment="1">
      <alignment horizontal="center"/>
    </xf>
    <xf numFmtId="5" fontId="4" fillId="0" borderId="0" xfId="0" applyNumberFormat="1" applyFont="1"/>
    <xf numFmtId="164" fontId="4" fillId="0" borderId="0" xfId="0" applyNumberFormat="1" applyFont="1" applyAlignment="1">
      <alignment horizontal="right"/>
    </xf>
    <xf numFmtId="5" fontId="14" fillId="0" borderId="0" xfId="0" applyNumberFormat="1" applyFont="1" applyFill="1"/>
    <xf numFmtId="41" fontId="14" fillId="0" borderId="0" xfId="0" applyNumberFormat="1" applyFont="1" applyFill="1"/>
    <xf numFmtId="41" fontId="4" fillId="0" borderId="0" xfId="0" applyNumberFormat="1" applyFont="1"/>
    <xf numFmtId="170" fontId="4" fillId="0" borderId="0" xfId="0" applyNumberFormat="1" applyFont="1" applyFill="1"/>
    <xf numFmtId="42" fontId="4" fillId="0" borderId="0" xfId="0" applyNumberFormat="1" applyFont="1"/>
    <xf numFmtId="42" fontId="14" fillId="0" borderId="0" xfId="0" applyNumberFormat="1" applyFont="1"/>
    <xf numFmtId="173" fontId="4" fillId="0" borderId="0" xfId="0" applyNumberFormat="1" applyFont="1"/>
    <xf numFmtId="0" fontId="7" fillId="0" borderId="20" xfId="0" applyFont="1" applyBorder="1"/>
    <xf numFmtId="0" fontId="4" fillId="0" borderId="21" xfId="0" applyFont="1" applyBorder="1"/>
    <xf numFmtId="167" fontId="4" fillId="0" borderId="21" xfId="0" applyNumberFormat="1" applyFont="1" applyFill="1" applyBorder="1"/>
    <xf numFmtId="172" fontId="4" fillId="0" borderId="22" xfId="0" applyNumberFormat="1" applyFont="1" applyBorder="1"/>
    <xf numFmtId="0" fontId="7" fillId="0" borderId="23" xfId="0" applyFont="1" applyBorder="1"/>
    <xf numFmtId="0" fontId="4" fillId="0" borderId="24" xfId="0" applyFont="1" applyBorder="1"/>
    <xf numFmtId="167" fontId="4" fillId="0" borderId="24" xfId="0" applyNumberFormat="1" applyFont="1" applyFill="1" applyBorder="1"/>
    <xf numFmtId="172" fontId="4" fillId="0" borderId="25" xfId="0" applyNumberFormat="1" applyFont="1" applyBorder="1"/>
    <xf numFmtId="171" fontId="4" fillId="0" borderId="0" xfId="0" applyNumberFormat="1" applyFont="1" applyAlignment="1">
      <alignment horizontal="right"/>
    </xf>
    <xf numFmtId="172" fontId="4" fillId="0" borderId="0" xfId="0" applyNumberFormat="1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172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/>
    </xf>
    <xf numFmtId="170" fontId="4" fillId="0" borderId="6" xfId="0" applyNumberFormat="1" applyFont="1" applyBorder="1" applyAlignment="1">
      <alignment horizontal="centerContinuous"/>
    </xf>
    <xf numFmtId="0" fontId="6" fillId="0" borderId="4" xfId="0" applyFont="1" applyBorder="1" applyProtection="1">
      <protection locked="0"/>
    </xf>
    <xf numFmtId="3" fontId="4" fillId="0" borderId="4" xfId="0" applyNumberFormat="1" applyFont="1" applyBorder="1"/>
    <xf numFmtId="3" fontId="4" fillId="0" borderId="0" xfId="0" applyNumberFormat="1" applyFont="1" applyBorder="1" applyProtection="1">
      <protection locked="0"/>
    </xf>
    <xf numFmtId="172" fontId="11" fillId="0" borderId="10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0" xfId="0" applyFont="1" applyBorder="1"/>
    <xf numFmtId="172" fontId="6" fillId="0" borderId="0" xfId="0" applyNumberFormat="1" applyFont="1" applyBorder="1"/>
    <xf numFmtId="10" fontId="11" fillId="0" borderId="0" xfId="0" applyNumberFormat="1" applyFont="1" applyBorder="1" applyAlignment="1">
      <alignment horizontal="center"/>
    </xf>
    <xf numFmtId="0" fontId="6" fillId="0" borderId="4" xfId="0" applyFont="1" applyFill="1" applyBorder="1" applyProtection="1">
      <protection locked="0"/>
    </xf>
    <xf numFmtId="0" fontId="6" fillId="0" borderId="14" xfId="0" applyFont="1" applyFill="1" applyBorder="1"/>
    <xf numFmtId="0" fontId="6" fillId="0" borderId="0" xfId="0" applyFont="1" applyFill="1" applyBorder="1"/>
    <xf numFmtId="172" fontId="6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/>
    <xf numFmtId="3" fontId="4" fillId="0" borderId="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78" fontId="4" fillId="0" borderId="0" xfId="0" applyNumberFormat="1" applyFont="1" applyBorder="1" applyAlignment="1">
      <alignment horizontal="right"/>
    </xf>
    <xf numFmtId="0" fontId="6" fillId="0" borderId="12" xfId="0" applyFont="1" applyBorder="1"/>
    <xf numFmtId="0" fontId="6" fillId="0" borderId="1" xfId="0" applyFont="1" applyBorder="1"/>
    <xf numFmtId="172" fontId="6" fillId="0" borderId="1" xfId="0" applyNumberFormat="1" applyFont="1" applyBorder="1"/>
    <xf numFmtId="3" fontId="4" fillId="0" borderId="1" xfId="0" applyNumberFormat="1" applyFont="1" applyBorder="1"/>
    <xf numFmtId="0" fontId="4" fillId="0" borderId="18" xfId="0" applyFont="1" applyFill="1" applyBorder="1"/>
    <xf numFmtId="172" fontId="4" fillId="0" borderId="19" xfId="0" applyNumberFormat="1" applyFont="1" applyFill="1" applyBorder="1"/>
    <xf numFmtId="3" fontId="11" fillId="0" borderId="0" xfId="0" applyNumberFormat="1" applyFont="1" applyFill="1"/>
    <xf numFmtId="169" fontId="11" fillId="0" borderId="0" xfId="0" applyNumberFormat="1" applyFont="1" applyFill="1"/>
    <xf numFmtId="0" fontId="10" fillId="0" borderId="0" xfId="0" applyFont="1" applyFill="1" applyAlignment="1">
      <alignment horizontal="center"/>
    </xf>
    <xf numFmtId="165" fontId="7" fillId="0" borderId="0" xfId="0" applyNumberFormat="1" applyFont="1" applyFill="1"/>
    <xf numFmtId="44" fontId="7" fillId="0" borderId="0" xfId="0" applyNumberFormat="1" applyFont="1" applyFill="1"/>
    <xf numFmtId="3" fontId="7" fillId="0" borderId="2" xfId="0" applyNumberFormat="1" applyFont="1" applyBorder="1"/>
    <xf numFmtId="0" fontId="4" fillId="0" borderId="0" xfId="2" applyFont="1"/>
    <xf numFmtId="0" fontId="6" fillId="0" borderId="0" xfId="2" applyFont="1"/>
    <xf numFmtId="17" fontId="4" fillId="0" borderId="1" xfId="2" applyNumberFormat="1" applyFont="1" applyBorder="1" applyAlignment="1">
      <alignment horizontal="center"/>
    </xf>
    <xf numFmtId="179" fontId="7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17" fontId="4" fillId="0" borderId="0" xfId="2" applyNumberFormat="1" applyFont="1"/>
    <xf numFmtId="166" fontId="7" fillId="0" borderId="0" xfId="2" applyNumberFormat="1" applyFont="1"/>
    <xf numFmtId="166" fontId="4" fillId="0" borderId="0" xfId="2" applyNumberFormat="1" applyFont="1"/>
    <xf numFmtId="166" fontId="4" fillId="0" borderId="0" xfId="2" applyNumberFormat="1" applyFont="1" applyAlignment="1">
      <alignment horizontal="left"/>
    </xf>
    <xf numFmtId="166" fontId="11" fillId="0" borderId="0" xfId="2" applyNumberFormat="1" applyFont="1"/>
    <xf numFmtId="166" fontId="7" fillId="0" borderId="2" xfId="2" applyNumberFormat="1" applyFont="1" applyBorder="1"/>
    <xf numFmtId="166" fontId="19" fillId="0" borderId="0" xfId="2" applyNumberFormat="1" applyFont="1"/>
    <xf numFmtId="166" fontId="11" fillId="0" borderId="0" xfId="2" applyNumberFormat="1" applyFont="1" applyBorder="1"/>
    <xf numFmtId="166" fontId="11" fillId="0" borderId="1" xfId="2" applyNumberFormat="1" applyFont="1" applyBorder="1"/>
    <xf numFmtId="3" fontId="11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1" fillId="0" borderId="0" xfId="3" applyFill="1"/>
    <xf numFmtId="0" fontId="21" fillId="0" borderId="0" xfId="0" applyFont="1" applyFill="1"/>
    <xf numFmtId="0" fontId="10" fillId="0" borderId="1" xfId="0" applyFont="1" applyBorder="1"/>
    <xf numFmtId="0" fontId="7" fillId="0" borderId="1" xfId="0" applyFont="1" applyBorder="1"/>
    <xf numFmtId="0" fontId="2" fillId="0" borderId="0" xfId="0" applyFont="1" applyAlignment="1">
      <alignment horizontal="center"/>
    </xf>
    <xf numFmtId="167" fontId="3" fillId="0" borderId="0" xfId="5" applyNumberFormat="1" applyFont="1" applyFill="1"/>
    <xf numFmtId="167" fontId="5" fillId="0" borderId="0" xfId="5" applyNumberFormat="1" applyFont="1" applyFill="1"/>
    <xf numFmtId="166" fontId="3" fillId="0" borderId="0" xfId="4" applyNumberFormat="1" applyFont="1" applyFill="1"/>
    <xf numFmtId="166" fontId="3" fillId="0" borderId="2" xfId="4" applyNumberFormat="1" applyFont="1" applyFill="1" applyBorder="1"/>
    <xf numFmtId="166" fontId="3" fillId="0" borderId="0" xfId="4" applyNumberFormat="1" applyFont="1" applyFill="1" applyBorder="1"/>
    <xf numFmtId="167" fontId="3" fillId="0" borderId="0" xfId="5" applyNumberFormat="1" applyFont="1" applyFill="1" applyAlignment="1">
      <alignment horizontal="center"/>
    </xf>
    <xf numFmtId="41" fontId="3" fillId="0" borderId="0" xfId="5" applyNumberFormat="1" applyFont="1" applyFill="1" applyAlignment="1"/>
    <xf numFmtId="167" fontId="3" fillId="0" borderId="0" xfId="5" applyNumberFormat="1" applyFont="1" applyFill="1" applyAlignment="1"/>
    <xf numFmtId="167" fontId="3" fillId="0" borderId="2" xfId="5" applyNumberFormat="1" applyFont="1" applyFill="1" applyBorder="1" applyAlignment="1"/>
    <xf numFmtId="167" fontId="3" fillId="0" borderId="0" xfId="5" applyNumberFormat="1" applyFont="1" applyFill="1" applyBorder="1" applyAlignment="1"/>
    <xf numFmtId="167" fontId="3" fillId="0" borderId="0" xfId="5" applyNumberFormat="1" applyFont="1" applyFill="1" applyBorder="1"/>
    <xf numFmtId="10" fontId="3" fillId="0" borderId="0" xfId="1" applyNumberFormat="1" applyFont="1" applyFill="1"/>
    <xf numFmtId="10" fontId="5" fillId="0" borderId="0" xfId="1" applyNumberFormat="1" applyFont="1" applyFill="1"/>
    <xf numFmtId="43" fontId="3" fillId="0" borderId="0" xfId="4" applyFont="1" applyFill="1"/>
    <xf numFmtId="9" fontId="3" fillId="0" borderId="0" xfId="1" applyFont="1" applyFill="1"/>
    <xf numFmtId="9" fontId="5" fillId="0" borderId="0" xfId="1" applyNumberFormat="1" applyFont="1" applyFill="1"/>
    <xf numFmtId="167" fontId="3" fillId="0" borderId="2" xfId="5" applyNumberFormat="1" applyFont="1" applyFill="1" applyBorder="1"/>
    <xf numFmtId="41" fontId="3" fillId="0" borderId="0" xfId="5" applyNumberFormat="1" applyFont="1" applyFill="1"/>
    <xf numFmtId="168" fontId="3" fillId="0" borderId="0" xfId="5" applyNumberFormat="1" applyFont="1" applyFill="1"/>
    <xf numFmtId="180" fontId="5" fillId="0" borderId="0" xfId="0" applyNumberFormat="1" applyFont="1" applyFill="1"/>
    <xf numFmtId="167" fontId="3" fillId="0" borderId="3" xfId="5" applyNumberFormat="1" applyFont="1" applyFill="1" applyBorder="1"/>
    <xf numFmtId="167" fontId="3" fillId="0" borderId="0" xfId="5" applyNumberFormat="1" applyFont="1" applyFill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6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6">
    <cellStyle name="Comma" xfId="4" builtinId="3"/>
    <cellStyle name="Currency" xfId="5" builtinId="4"/>
    <cellStyle name="Hyperlink" xfId="3" builtinId="8"/>
    <cellStyle name="Normal" xfId="0" builtinId="0"/>
    <cellStyle name="Normal 2" xfId="2"/>
    <cellStyle name="Percent" xfId="1" builtinId="5"/>
  </cellStyles>
  <dxfs count="1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Light16"/>
  <colors>
    <mruColors>
      <color rgb="FF008080"/>
      <color rgb="FF0000FF"/>
      <color rgb="FF84FCB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LNG-Sch141LNG-RevReq-04-30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Plant Additions"/>
      <sheetName val="Deferrals ---&gt;"/>
      <sheetName val="Total Deferrals"/>
      <sheetName val="LNG O&amp;M Deferral"/>
      <sheetName val="LNG Depreciation Deferral"/>
      <sheetName val="LNG Return Deferral"/>
      <sheetName val="ROR"/>
      <sheetName val="O&amp;M"/>
      <sheetName val="Gas Conv Factor"/>
      <sheetName val="Sheet1"/>
    </sheetNames>
    <sheetDataSet>
      <sheetData sheetId="0"/>
      <sheetData sheetId="1">
        <row r="33">
          <cell r="F33">
            <v>524291.50587108359</v>
          </cell>
        </row>
        <row r="34">
          <cell r="F34">
            <v>524291.50587108359</v>
          </cell>
        </row>
        <row r="35">
          <cell r="F35">
            <v>524291.50587108359</v>
          </cell>
        </row>
        <row r="36">
          <cell r="F36">
            <v>524291.50587108359</v>
          </cell>
        </row>
        <row r="37">
          <cell r="F37">
            <v>524291.50587108359</v>
          </cell>
        </row>
        <row r="38">
          <cell r="F38">
            <v>524291.50587108359</v>
          </cell>
        </row>
        <row r="39">
          <cell r="F39">
            <v>524291.50587108359</v>
          </cell>
        </row>
        <row r="40">
          <cell r="F40">
            <v>524291.50587108359</v>
          </cell>
        </row>
        <row r="41">
          <cell r="F41">
            <v>524291.50587108359</v>
          </cell>
        </row>
        <row r="42">
          <cell r="F42">
            <v>524291.50587108359</v>
          </cell>
        </row>
        <row r="43">
          <cell r="F43">
            <v>524291.50587108359</v>
          </cell>
        </row>
        <row r="44">
          <cell r="F44">
            <v>524291.50587108359</v>
          </cell>
        </row>
        <row r="50">
          <cell r="C50">
            <v>242655485.57000002</v>
          </cell>
        </row>
        <row r="51">
          <cell r="C51">
            <v>-13891779.76105734</v>
          </cell>
        </row>
        <row r="52">
          <cell r="C52">
            <v>-3769688.9179613441</v>
          </cell>
        </row>
      </sheetData>
      <sheetData sheetId="2"/>
      <sheetData sheetId="3">
        <row r="10">
          <cell r="D10">
            <v>-7091842.8389447341</v>
          </cell>
        </row>
      </sheetData>
      <sheetData sheetId="4">
        <row r="59">
          <cell r="E59">
            <v>8879093.6488682032</v>
          </cell>
          <cell r="H59">
            <v>-1109886.7061085256</v>
          </cell>
          <cell r="L59">
            <v>-1631533.4579795317</v>
          </cell>
        </row>
      </sheetData>
      <sheetData sheetId="5">
        <row r="59">
          <cell r="E59">
            <v>10746030.725830838</v>
          </cell>
          <cell r="H59">
            <v>-1343253.8407288545</v>
          </cell>
          <cell r="L59">
            <v>-1974583.1458714167</v>
          </cell>
        </row>
      </sheetData>
      <sheetData sheetId="6"/>
      <sheetData sheetId="7">
        <row r="4">
          <cell r="E4">
            <v>2.5500000000000002E-2</v>
          </cell>
        </row>
        <row r="6">
          <cell r="E6">
            <v>7.1559999999999999E-2</v>
          </cell>
        </row>
      </sheetData>
      <sheetData sheetId="8">
        <row r="27">
          <cell r="U27">
            <v>-4244174.6789823789</v>
          </cell>
        </row>
      </sheetData>
      <sheetData sheetId="9">
        <row r="24">
          <cell r="F24">
            <v>0.75243099999999996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" name="Table132" displayName="Table132" ref="B4:O47" totalsRowShown="0" headerRowDxfId="15" dataDxfId="14">
  <tableColumns count="14">
    <tableColumn id="1" name="Costs" dataDxfId="13"/>
    <tableColumn id="13" name="Description" dataDxfId="12"/>
    <tableColumn id="11" name="Acronym" dataDxfId="11"/>
    <tableColumn id="6" name="Functionalization" dataDxfId="10"/>
    <tableColumn id="7" name="Classification" dataDxfId="9"/>
    <tableColumn id="8" name="Allocation" dataDxfId="8"/>
    <tableColumn id="2" name="Residential (16,23,53)" dataDxfId="7"/>
    <tableColumn id="3" name="Comm. &amp; Indus. (31,31T)" dataDxfId="6"/>
    <tableColumn id="4" name="Large Volume (41,41T)" dataDxfId="5"/>
    <tableColumn id="5" name="Interruptible (85, 85T)" dataDxfId="4"/>
    <tableColumn id="14" name="Limited Interruptible (86, 86T)" dataDxfId="3"/>
    <tableColumn id="10" name="Non-Exclusive Interruptible (87, 87T)" dataDxfId="2"/>
    <tableColumn id="9" name="Contracts" dataDxfId="1"/>
    <tableColumn id="12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Normal="100" zoomScaleSheetLayoutView="175" workbookViewId="0">
      <selection activeCell="B25" sqref="B25"/>
    </sheetView>
  </sheetViews>
  <sheetFormatPr defaultRowHeight="12.75" x14ac:dyDescent="0.2"/>
  <cols>
    <col min="1" max="1" width="32" style="73" customWidth="1"/>
    <col min="2" max="2" width="16.85546875" style="73" customWidth="1"/>
    <col min="3" max="3" width="86.7109375" style="73" bestFit="1" customWidth="1"/>
    <col min="4" max="16384" width="9.140625" style="73"/>
  </cols>
  <sheetData>
    <row r="1" spans="1:3" s="364" customFormat="1" x14ac:dyDescent="0.2">
      <c r="A1" s="25" t="s">
        <v>0</v>
      </c>
    </row>
    <row r="2" spans="1:3" s="364" customFormat="1" x14ac:dyDescent="0.2">
      <c r="A2" s="25" t="s">
        <v>37</v>
      </c>
    </row>
    <row r="3" spans="1:3" s="364" customFormat="1" x14ac:dyDescent="0.2">
      <c r="A3" s="25" t="s">
        <v>369</v>
      </c>
    </row>
    <row r="4" spans="1:3" s="364" customFormat="1" x14ac:dyDescent="0.2">
      <c r="A4" s="365" t="s">
        <v>391</v>
      </c>
      <c r="B4" s="366"/>
    </row>
    <row r="5" spans="1:3" s="364" customFormat="1" x14ac:dyDescent="0.2"/>
    <row r="6" spans="1:3" s="364" customFormat="1" x14ac:dyDescent="0.2">
      <c r="A6" s="367" t="s">
        <v>392</v>
      </c>
      <c r="B6" s="367" t="s">
        <v>393</v>
      </c>
      <c r="C6" s="367" t="s">
        <v>67</v>
      </c>
    </row>
    <row r="7" spans="1:3" ht="15" x14ac:dyDescent="0.25">
      <c r="A7" s="368" t="s">
        <v>394</v>
      </c>
      <c r="B7" s="73" t="s">
        <v>395</v>
      </c>
      <c r="C7" s="366" t="s">
        <v>396</v>
      </c>
    </row>
    <row r="8" spans="1:3" ht="15" x14ac:dyDescent="0.25">
      <c r="A8" s="368" t="s">
        <v>402</v>
      </c>
      <c r="B8" s="73" t="s">
        <v>408</v>
      </c>
      <c r="C8" s="364" t="s">
        <v>405</v>
      </c>
    </row>
    <row r="9" spans="1:3" ht="15" x14ac:dyDescent="0.25">
      <c r="A9" s="368" t="s">
        <v>403</v>
      </c>
      <c r="B9" s="73" t="s">
        <v>408</v>
      </c>
      <c r="C9" s="364" t="s">
        <v>406</v>
      </c>
    </row>
    <row r="10" spans="1:3" ht="15" x14ac:dyDescent="0.25">
      <c r="A10" s="368" t="s">
        <v>404</v>
      </c>
      <c r="B10" s="73" t="s">
        <v>408</v>
      </c>
      <c r="C10" s="364" t="s">
        <v>407</v>
      </c>
    </row>
    <row r="11" spans="1:3" ht="15" x14ac:dyDescent="0.25">
      <c r="A11" s="368" t="s">
        <v>418</v>
      </c>
      <c r="B11" s="73" t="s">
        <v>395</v>
      </c>
      <c r="C11" s="364" t="s">
        <v>419</v>
      </c>
    </row>
    <row r="12" spans="1:3" ht="15" x14ac:dyDescent="0.25">
      <c r="A12" s="368" t="s">
        <v>399</v>
      </c>
      <c r="B12" s="73" t="s">
        <v>395</v>
      </c>
      <c r="C12" s="364" t="s">
        <v>410</v>
      </c>
    </row>
    <row r="13" spans="1:3" ht="15" x14ac:dyDescent="0.25">
      <c r="A13" s="368" t="s">
        <v>409</v>
      </c>
      <c r="B13" s="73" t="s">
        <v>395</v>
      </c>
      <c r="C13" s="364" t="s">
        <v>415</v>
      </c>
    </row>
    <row r="14" spans="1:3" ht="15" x14ac:dyDescent="0.25">
      <c r="A14" s="368" t="s">
        <v>411</v>
      </c>
      <c r="B14" s="73" t="s">
        <v>395</v>
      </c>
      <c r="C14" s="364" t="s">
        <v>414</v>
      </c>
    </row>
    <row r="15" spans="1:3" ht="15" x14ac:dyDescent="0.25">
      <c r="A15" s="368" t="s">
        <v>412</v>
      </c>
      <c r="B15" s="73" t="s">
        <v>395</v>
      </c>
      <c r="C15" s="364" t="s">
        <v>416</v>
      </c>
    </row>
    <row r="16" spans="1:3" ht="15" x14ac:dyDescent="0.25">
      <c r="A16" s="368" t="s">
        <v>397</v>
      </c>
      <c r="B16" s="73" t="s">
        <v>395</v>
      </c>
      <c r="C16" s="364" t="s">
        <v>398</v>
      </c>
    </row>
    <row r="17" spans="1:3" ht="15" x14ac:dyDescent="0.25">
      <c r="A17" s="368" t="s">
        <v>413</v>
      </c>
      <c r="B17" s="73" t="s">
        <v>395</v>
      </c>
      <c r="C17" s="364" t="s">
        <v>417</v>
      </c>
    </row>
    <row r="18" spans="1:3" ht="15" x14ac:dyDescent="0.25">
      <c r="A18" s="369"/>
      <c r="C18" s="364"/>
    </row>
    <row r="20" spans="1:3" x14ac:dyDescent="0.2">
      <c r="A20" s="370" t="s">
        <v>400</v>
      </c>
      <c r="B20" s="371"/>
    </row>
    <row r="21" spans="1:3" x14ac:dyDescent="0.2">
      <c r="A21" s="73" t="s">
        <v>420</v>
      </c>
    </row>
    <row r="28" spans="1:3" x14ac:dyDescent="0.2">
      <c r="A28" s="370" t="s">
        <v>401</v>
      </c>
      <c r="B28" s="371"/>
    </row>
  </sheetData>
  <hyperlinks>
    <hyperlink ref="A7" location="'Rate Summary'!A1" display="Rate Summary"/>
    <hyperlink ref="A17" location="'C-COS Allocation Factors (PSE)'!A1" display="C-COS Allocation Factors (PSE)"/>
    <hyperlink ref="A11" location="'Exh SEF-3 Summary'!A1" display="Exh SEF-3 Summary"/>
    <hyperlink ref="A8" location="'Rate Design'!A1" display="Rate Design"/>
    <hyperlink ref="A9" location="'Rate Spread (Blocks)'!A1" display="Rate Design (Blocks)"/>
    <hyperlink ref="A10" location="'Rate Spread'!A1" display="Rate Spread"/>
    <hyperlink ref="A16" location="'Exh JDT-5 (JDT-INTRPL-RD)'!A1" display="Exh JDT-5 (JDT-INTRPL-RD)"/>
    <hyperlink ref="A12" location="'RY#2 Therms'!A1" display="RY#2 Therms"/>
    <hyperlink ref="A13" location="'RY#2 Therms By Block'!A1" display="RY#2 Therms by Block"/>
    <hyperlink ref="A14" location="'Exh JDT-5 (JDT-RES_RD)'!A1" display="Exh JDT-5 (JDT-RES-RD)"/>
    <hyperlink ref="A15" location="'Exh JDT-5 (JDT-C&amp;I-RD)'!A1" display="Exh JDT-5 (JDT-C&amp;I-RD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G42" sqref="G42"/>
      <selection pane="bottomLeft"/>
    </sheetView>
  </sheetViews>
  <sheetFormatPr defaultColWidth="9.140625" defaultRowHeight="12.75" x14ac:dyDescent="0.2"/>
  <cols>
    <col min="1" max="1" width="2.42578125" style="32" customWidth="1"/>
    <col min="2" max="2" width="31.7109375" style="213" customWidth="1"/>
    <col min="3" max="3" width="9.7109375" style="213" customWidth="1"/>
    <col min="4" max="4" width="15.28515625" style="5" bestFit="1" customWidth="1"/>
    <col min="5" max="5" width="10.42578125" style="5" customWidth="1"/>
    <col min="6" max="6" width="13.7109375" style="213" bestFit="1" customWidth="1"/>
    <col min="7" max="7" width="2.85546875" style="150" customWidth="1"/>
    <col min="8" max="8" width="10.42578125" style="32" bestFit="1" customWidth="1"/>
    <col min="9" max="9" width="13.28515625" style="105" customWidth="1"/>
    <col min="10" max="10" width="2.85546875" style="187" customWidth="1"/>
    <col min="11" max="11" width="13.28515625" style="32" customWidth="1"/>
    <col min="12" max="12" width="10.42578125" style="315" customWidth="1"/>
    <col min="13" max="13" width="2.85546875" style="315" customWidth="1"/>
    <col min="14" max="14" width="14.5703125" style="32" customWidth="1"/>
    <col min="15" max="16384" width="9.140625" style="32"/>
  </cols>
  <sheetData>
    <row r="1" spans="2:23" x14ac:dyDescent="0.2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313"/>
      <c r="N1" s="109"/>
    </row>
    <row r="2" spans="2:23" x14ac:dyDescent="0.2">
      <c r="B2" s="25" t="s">
        <v>257</v>
      </c>
      <c r="C2" s="232"/>
      <c r="D2" s="314"/>
      <c r="E2" s="314"/>
      <c r="F2" s="232"/>
      <c r="G2" s="232"/>
      <c r="H2" s="232"/>
      <c r="I2" s="232"/>
      <c r="J2" s="232"/>
      <c r="K2" s="232"/>
      <c r="L2" s="232"/>
      <c r="M2" s="313"/>
      <c r="N2" s="109"/>
    </row>
    <row r="3" spans="2:23" x14ac:dyDescent="0.2">
      <c r="B3" s="25" t="s">
        <v>369</v>
      </c>
      <c r="C3" s="232"/>
      <c r="D3" s="314"/>
      <c r="E3" s="314"/>
      <c r="F3" s="232"/>
      <c r="G3" s="232"/>
      <c r="H3" s="232"/>
      <c r="I3" s="232"/>
      <c r="J3" s="232"/>
      <c r="K3" s="232"/>
      <c r="L3" s="232"/>
      <c r="M3" s="313"/>
      <c r="N3" s="109"/>
    </row>
    <row r="4" spans="2:23" x14ac:dyDescent="0.2">
      <c r="B4" s="25" t="s">
        <v>356</v>
      </c>
      <c r="C4" s="232"/>
      <c r="D4" s="314"/>
      <c r="E4" s="314"/>
      <c r="F4" s="232"/>
      <c r="G4" s="232"/>
      <c r="H4" s="232"/>
      <c r="I4" s="232"/>
      <c r="J4" s="232"/>
      <c r="K4" s="232"/>
      <c r="L4" s="232"/>
      <c r="M4" s="313"/>
      <c r="N4" s="109"/>
    </row>
    <row r="5" spans="2:23" x14ac:dyDescent="0.2">
      <c r="B5" s="25" t="s">
        <v>370</v>
      </c>
      <c r="C5" s="232"/>
      <c r="D5" s="314"/>
      <c r="E5" s="314"/>
      <c r="F5" s="232"/>
      <c r="G5" s="232"/>
      <c r="H5" s="232"/>
      <c r="I5" s="232"/>
      <c r="J5" s="232"/>
      <c r="K5" s="232"/>
      <c r="L5" s="232"/>
      <c r="M5" s="313"/>
      <c r="N5" s="116"/>
    </row>
    <row r="6" spans="2:23" x14ac:dyDescent="0.2">
      <c r="N6" s="121"/>
    </row>
    <row r="7" spans="2:23" ht="15" customHeight="1" x14ac:dyDescent="0.2">
      <c r="B7" s="122"/>
      <c r="C7" s="123"/>
      <c r="D7" s="70" t="s">
        <v>298</v>
      </c>
      <c r="E7" s="124" t="s">
        <v>299</v>
      </c>
      <c r="F7" s="125"/>
      <c r="G7" s="316"/>
      <c r="H7" s="126" t="s">
        <v>300</v>
      </c>
      <c r="I7" s="125"/>
      <c r="J7" s="127"/>
      <c r="K7" s="125" t="s">
        <v>301</v>
      </c>
      <c r="L7" s="317"/>
      <c r="M7" s="128"/>
      <c r="N7" s="129" t="s">
        <v>302</v>
      </c>
    </row>
    <row r="8" spans="2:23" x14ac:dyDescent="0.2">
      <c r="B8" s="130" t="s">
        <v>67</v>
      </c>
      <c r="C8" s="131" t="s">
        <v>303</v>
      </c>
      <c r="D8" s="132" t="s">
        <v>304</v>
      </c>
      <c r="E8" s="132" t="s">
        <v>226</v>
      </c>
      <c r="F8" s="133" t="s">
        <v>305</v>
      </c>
      <c r="G8" s="131"/>
      <c r="H8" s="131" t="s">
        <v>226</v>
      </c>
      <c r="I8" s="133" t="s">
        <v>305</v>
      </c>
      <c r="J8" s="133"/>
      <c r="K8" s="133" t="s">
        <v>306</v>
      </c>
      <c r="L8" s="239" t="s">
        <v>307</v>
      </c>
      <c r="M8" s="136"/>
      <c r="N8" s="137" t="s">
        <v>308</v>
      </c>
    </row>
    <row r="9" spans="2:23" x14ac:dyDescent="0.2">
      <c r="B9" s="121"/>
      <c r="C9" s="121"/>
      <c r="D9" s="26"/>
      <c r="E9" s="26"/>
      <c r="F9" s="121"/>
      <c r="H9" s="121"/>
      <c r="I9" s="187"/>
      <c r="K9" s="121"/>
      <c r="L9" s="184"/>
      <c r="M9" s="184"/>
      <c r="N9" s="121"/>
    </row>
    <row r="10" spans="2:23" x14ac:dyDescent="0.2">
      <c r="B10" s="141" t="s">
        <v>198</v>
      </c>
      <c r="C10" s="318"/>
      <c r="D10" s="146"/>
      <c r="E10" s="146"/>
      <c r="F10" s="143"/>
      <c r="G10" s="319"/>
      <c r="H10" s="146"/>
      <c r="I10" s="144"/>
      <c r="J10" s="144"/>
      <c r="K10" s="144"/>
      <c r="L10" s="245"/>
      <c r="M10" s="184"/>
      <c r="N10" s="121"/>
    </row>
    <row r="11" spans="2:23" x14ac:dyDescent="0.2">
      <c r="B11" s="149"/>
      <c r="C11" s="121"/>
      <c r="D11" s="26"/>
      <c r="E11" s="26"/>
      <c r="F11" s="121"/>
      <c r="G11" s="320"/>
      <c r="H11" s="26"/>
      <c r="I11" s="151"/>
      <c r="J11" s="151"/>
      <c r="K11" s="151"/>
      <c r="L11" s="193"/>
      <c r="M11" s="184"/>
      <c r="N11" s="129" t="s">
        <v>357</v>
      </c>
    </row>
    <row r="12" spans="2:23" x14ac:dyDescent="0.2">
      <c r="B12" s="155" t="s">
        <v>310</v>
      </c>
      <c r="C12" s="156" t="s">
        <v>311</v>
      </c>
      <c r="D12" s="152">
        <v>9634497.6315792762</v>
      </c>
      <c r="E12" s="157">
        <v>11.52</v>
      </c>
      <c r="F12" s="151">
        <f>SUM(+D12*E12)</f>
        <v>110989412.71579325</v>
      </c>
      <c r="H12" s="158">
        <v>12.5</v>
      </c>
      <c r="I12" s="151">
        <f>SUM(+D12*H12)</f>
        <v>120431220.39474095</v>
      </c>
      <c r="J12" s="151"/>
      <c r="K12" s="151">
        <f>I12-F12</f>
        <v>9441807.6789477021</v>
      </c>
      <c r="L12" s="153">
        <f>IFERROR(ROUND(K12/F12,5), )</f>
        <v>8.5070000000000007E-2</v>
      </c>
      <c r="M12" s="184"/>
      <c r="N12" s="321">
        <v>403617221.39551479</v>
      </c>
    </row>
    <row r="13" spans="2:23" x14ac:dyDescent="0.2">
      <c r="B13" s="149" t="s">
        <v>312</v>
      </c>
      <c r="C13" s="121" t="s">
        <v>223</v>
      </c>
      <c r="D13" s="150">
        <v>620836684.05687141</v>
      </c>
      <c r="E13" s="161">
        <v>0.41964000000000001</v>
      </c>
      <c r="F13" s="151">
        <f>ROUND(D13*E13,2)</f>
        <v>260527906.09999999</v>
      </c>
      <c r="H13" s="162">
        <f>ROUND((N12-I12-I20-I32)/D13, 5)</f>
        <v>0.45612999999999998</v>
      </c>
      <c r="I13" s="151">
        <f>ROUND(D13*H13,2)</f>
        <v>283182236.69999999</v>
      </c>
      <c r="J13" s="151"/>
      <c r="K13" s="151">
        <f>I13-F13</f>
        <v>22654330.599999994</v>
      </c>
      <c r="L13" s="153">
        <f>IFERROR(ROUND(K13/F13,5), )</f>
        <v>8.6959999999999996E-2</v>
      </c>
      <c r="M13" s="121"/>
      <c r="N13" s="163" t="s">
        <v>313</v>
      </c>
    </row>
    <row r="14" spans="2:23" x14ac:dyDescent="0.2">
      <c r="B14" s="322"/>
      <c r="C14" s="167"/>
      <c r="D14" s="152"/>
      <c r="E14" s="26"/>
      <c r="F14" s="168">
        <f>SUM(F12:F13)</f>
        <v>371517318.81579328</v>
      </c>
      <c r="H14" s="26"/>
      <c r="I14" s="168">
        <f>SUM(I12:I13)</f>
        <v>403613457.09474093</v>
      </c>
      <c r="J14" s="151"/>
      <c r="K14" s="168">
        <f>SUM(K12:K13)</f>
        <v>32096138.278947696</v>
      </c>
      <c r="L14" s="170">
        <f>IFERROR(ROUND(K14/F14,5), )</f>
        <v>8.6389999999999995E-2</v>
      </c>
      <c r="M14" s="121"/>
      <c r="N14" s="246">
        <f>I37-N12</f>
        <v>1468.8492261171341</v>
      </c>
    </row>
    <row r="15" spans="2:23" x14ac:dyDescent="0.2">
      <c r="B15" s="322"/>
      <c r="C15" s="323"/>
      <c r="D15" s="26"/>
      <c r="E15" s="161"/>
      <c r="F15" s="324"/>
      <c r="H15" s="26"/>
      <c r="I15" s="151"/>
      <c r="J15" s="151"/>
      <c r="K15" s="151"/>
      <c r="L15" s="193"/>
      <c r="M15" s="120"/>
    </row>
    <row r="16" spans="2:23" x14ac:dyDescent="0.2">
      <c r="B16" s="166" t="s">
        <v>316</v>
      </c>
      <c r="C16" s="167"/>
      <c r="D16" s="150"/>
      <c r="E16" s="26"/>
      <c r="F16" s="168">
        <f>F14</f>
        <v>371517318.81579328</v>
      </c>
      <c r="H16" s="26"/>
      <c r="I16" s="168">
        <f>I14</f>
        <v>403613457.09474093</v>
      </c>
      <c r="J16" s="151"/>
      <c r="K16" s="168">
        <f>K14</f>
        <v>32096138.278947696</v>
      </c>
      <c r="L16" s="170">
        <f>IFERROR(ROUND(K16/F16,5), )</f>
        <v>8.6389999999999995E-2</v>
      </c>
      <c r="M16" s="120"/>
      <c r="N16" s="325">
        <v>8.0480791636416082E-2</v>
      </c>
      <c r="O16" s="121"/>
      <c r="W16" s="121"/>
    </row>
    <row r="17" spans="1:23" s="5" customFormat="1" x14ac:dyDescent="0.2">
      <c r="B17" s="206"/>
      <c r="C17" s="177"/>
      <c r="D17" s="177"/>
      <c r="E17" s="177"/>
      <c r="F17" s="181"/>
      <c r="G17" s="211"/>
      <c r="H17" s="177"/>
      <c r="I17" s="181"/>
      <c r="J17" s="181"/>
      <c r="K17" s="181"/>
      <c r="L17" s="207"/>
      <c r="M17" s="26"/>
      <c r="N17" s="26"/>
      <c r="O17" s="26"/>
      <c r="W17" s="26"/>
    </row>
    <row r="18" spans="1:23" x14ac:dyDescent="0.2">
      <c r="A18" s="5"/>
      <c r="B18" s="186" t="s">
        <v>199</v>
      </c>
      <c r="C18" s="326"/>
      <c r="D18" s="146"/>
      <c r="E18" s="146"/>
      <c r="F18" s="144"/>
      <c r="G18" s="319"/>
      <c r="H18" s="146"/>
      <c r="I18" s="144"/>
      <c r="J18" s="144"/>
      <c r="K18" s="144"/>
      <c r="L18" s="147"/>
      <c r="M18" s="121"/>
      <c r="N18" s="121"/>
      <c r="O18" s="121"/>
      <c r="W18" s="121"/>
    </row>
    <row r="19" spans="1:23" s="5" customFormat="1" x14ac:dyDescent="0.2">
      <c r="B19" s="190"/>
      <c r="C19" s="26"/>
      <c r="D19" s="26"/>
      <c r="E19" s="26"/>
      <c r="F19" s="159"/>
      <c r="G19" s="191"/>
      <c r="H19" s="26"/>
      <c r="I19" s="159"/>
      <c r="J19" s="159"/>
      <c r="K19" s="159"/>
      <c r="L19" s="265"/>
      <c r="M19" s="247"/>
      <c r="N19" s="138"/>
      <c r="O19" s="26"/>
      <c r="W19" s="26"/>
    </row>
    <row r="20" spans="1:23" s="5" customFormat="1" ht="13.5" customHeight="1" x14ac:dyDescent="0.2">
      <c r="B20" s="155" t="s">
        <v>310</v>
      </c>
      <c r="C20" s="156" t="s">
        <v>311</v>
      </c>
      <c r="D20" s="152">
        <v>0</v>
      </c>
      <c r="E20" s="157">
        <v>11.52</v>
      </c>
      <c r="F20" s="159">
        <f>SUM(+D20*E20)</f>
        <v>0</v>
      </c>
      <c r="G20" s="152"/>
      <c r="H20" s="158">
        <f>H12</f>
        <v>12.5</v>
      </c>
      <c r="I20" s="159">
        <f>SUM(+D20*H20)</f>
        <v>0</v>
      </c>
      <c r="J20" s="159"/>
      <c r="K20" s="159">
        <f>I20-F20</f>
        <v>0</v>
      </c>
      <c r="L20" s="153">
        <f t="shared" ref="L20:L21" si="0">IFERROR(ROUND(K20/F20,5), )</f>
        <v>0</v>
      </c>
      <c r="M20" s="247"/>
      <c r="N20" s="208"/>
      <c r="O20" s="26"/>
      <c r="W20" s="26"/>
    </row>
    <row r="21" spans="1:23" s="5" customFormat="1" ht="13.5" customHeight="1" x14ac:dyDescent="0.2">
      <c r="B21" s="149" t="s">
        <v>312</v>
      </c>
      <c r="C21" s="121" t="s">
        <v>223</v>
      </c>
      <c r="D21" s="152">
        <v>0</v>
      </c>
      <c r="E21" s="161">
        <v>0.41964000000000001</v>
      </c>
      <c r="F21" s="159">
        <f>ROUND(D21*E21,2)</f>
        <v>0</v>
      </c>
      <c r="G21" s="152"/>
      <c r="H21" s="162">
        <f>H13</f>
        <v>0.45612999999999998</v>
      </c>
      <c r="I21" s="159">
        <f>ROUND(D21*H21,2)</f>
        <v>0</v>
      </c>
      <c r="J21" s="159"/>
      <c r="K21" s="159">
        <f>I21-F21</f>
        <v>0</v>
      </c>
      <c r="L21" s="153">
        <f t="shared" si="0"/>
        <v>0</v>
      </c>
      <c r="M21" s="247"/>
      <c r="N21" s="195"/>
      <c r="O21" s="26"/>
      <c r="W21" s="26"/>
    </row>
    <row r="22" spans="1:23" s="5" customFormat="1" ht="13.5" customHeight="1" x14ac:dyDescent="0.2">
      <c r="B22" s="166" t="s">
        <v>315</v>
      </c>
      <c r="C22" s="156"/>
      <c r="D22" s="152"/>
      <c r="E22" s="26"/>
      <c r="F22" s="168">
        <f>SUM(F20:F21)</f>
        <v>0</v>
      </c>
      <c r="G22" s="152"/>
      <c r="H22" s="26"/>
      <c r="I22" s="168">
        <f>SUM(I20:I21)</f>
        <v>0</v>
      </c>
      <c r="J22" s="159"/>
      <c r="K22" s="168">
        <f>SUM(K20:K21)</f>
        <v>0</v>
      </c>
      <c r="L22" s="170">
        <f>IFERROR(ROUND(K22/F22,5), )</f>
        <v>0</v>
      </c>
      <c r="M22" s="26"/>
      <c r="N22" s="195"/>
      <c r="O22" s="26"/>
      <c r="W22" s="26"/>
    </row>
    <row r="23" spans="1:23" s="5" customFormat="1" ht="13.5" customHeight="1" x14ac:dyDescent="0.2">
      <c r="B23" s="327"/>
      <c r="C23" s="328"/>
      <c r="D23" s="26"/>
      <c r="E23" s="26"/>
      <c r="F23" s="329"/>
      <c r="G23" s="152"/>
      <c r="H23" s="26"/>
      <c r="I23" s="159"/>
      <c r="J23" s="159"/>
      <c r="K23" s="159"/>
      <c r="L23" s="265"/>
      <c r="M23" s="26"/>
      <c r="N23" s="330"/>
      <c r="O23" s="26"/>
      <c r="W23" s="26"/>
    </row>
    <row r="24" spans="1:23" s="5" customFormat="1" ht="13.5" customHeight="1" x14ac:dyDescent="0.2">
      <c r="B24" s="155" t="s">
        <v>316</v>
      </c>
      <c r="C24" s="156"/>
      <c r="D24" s="26"/>
      <c r="E24" s="26"/>
      <c r="F24" s="168">
        <f>F22</f>
        <v>0</v>
      </c>
      <c r="G24" s="152"/>
      <c r="H24" s="26"/>
      <c r="I24" s="168">
        <f>I22</f>
        <v>0</v>
      </c>
      <c r="J24" s="159"/>
      <c r="K24" s="168">
        <f>K22</f>
        <v>0</v>
      </c>
      <c r="L24" s="170">
        <f>IFERROR(ROUND(K24/F24,5), )</f>
        <v>0</v>
      </c>
      <c r="M24" s="26"/>
      <c r="N24" s="331"/>
      <c r="O24" s="26"/>
      <c r="W24" s="26"/>
    </row>
    <row r="25" spans="1:23" s="5" customFormat="1" ht="13.5" customHeight="1" x14ac:dyDescent="0.2">
      <c r="B25" s="206"/>
      <c r="C25" s="177"/>
      <c r="D25" s="177"/>
      <c r="E25" s="177"/>
      <c r="F25" s="181"/>
      <c r="G25" s="177"/>
      <c r="H25" s="177"/>
      <c r="I25" s="181"/>
      <c r="J25" s="181"/>
      <c r="K25" s="181"/>
      <c r="L25" s="207"/>
      <c r="M25" s="26"/>
      <c r="N25" s="332"/>
      <c r="O25" s="26"/>
      <c r="W25" s="26"/>
    </row>
    <row r="26" spans="1:23" ht="13.5" customHeight="1" x14ac:dyDescent="0.2">
      <c r="B26" s="186" t="s">
        <v>200</v>
      </c>
      <c r="C26" s="318"/>
      <c r="D26" s="146"/>
      <c r="E26" s="146"/>
      <c r="F26" s="144"/>
      <c r="G26" s="319"/>
      <c r="H26" s="143"/>
      <c r="I26" s="144"/>
      <c r="J26" s="144"/>
      <c r="K26" s="144"/>
      <c r="L26" s="147"/>
      <c r="M26" s="121"/>
      <c r="N26" s="5"/>
      <c r="O26" s="121"/>
      <c r="W26" s="121"/>
    </row>
    <row r="27" spans="1:23" ht="13.5" customHeight="1" x14ac:dyDescent="0.2">
      <c r="B27" s="322"/>
      <c r="C27" s="323"/>
      <c r="D27" s="26"/>
      <c r="E27" s="26"/>
      <c r="F27" s="151"/>
      <c r="G27" s="333"/>
      <c r="H27" s="121"/>
      <c r="I27" s="151"/>
      <c r="J27" s="151"/>
      <c r="K27" s="151"/>
      <c r="L27" s="193"/>
      <c r="M27" s="184"/>
      <c r="N27" s="5"/>
      <c r="O27" s="121"/>
      <c r="W27" s="121"/>
    </row>
    <row r="28" spans="1:23" ht="13.5" customHeight="1" x14ac:dyDescent="0.2">
      <c r="B28" s="190" t="s">
        <v>358</v>
      </c>
      <c r="C28" s="334" t="s">
        <v>359</v>
      </c>
      <c r="D28" s="152">
        <v>431.06668421052632</v>
      </c>
      <c r="E28" s="157">
        <v>11.24</v>
      </c>
      <c r="F28" s="151">
        <f>ROUND(D28*E28,2)</f>
        <v>4845.1899999999996</v>
      </c>
      <c r="H28" s="158">
        <f>ROUND(E28*(1+N16), 2)</f>
        <v>12.14</v>
      </c>
      <c r="I28" s="151">
        <f>ROUND(D28*H28,2)</f>
        <v>5233.1499999999996</v>
      </c>
      <c r="J28" s="151"/>
      <c r="K28" s="151">
        <f>I28-F28</f>
        <v>387.96000000000004</v>
      </c>
      <c r="L28" s="153">
        <f>IFERROR(ROUND(K28/F28,5), )</f>
        <v>8.0070000000000002E-2</v>
      </c>
      <c r="M28" s="335"/>
      <c r="N28" s="5"/>
      <c r="O28" s="121"/>
      <c r="W28" s="121"/>
    </row>
    <row r="29" spans="1:23" ht="13.5" customHeight="1" x14ac:dyDescent="0.2">
      <c r="B29" s="149"/>
      <c r="C29" s="121"/>
      <c r="D29" s="26"/>
      <c r="E29" s="26"/>
      <c r="F29" s="151"/>
      <c r="G29" s="121"/>
      <c r="H29" s="121"/>
      <c r="I29" s="151"/>
      <c r="J29" s="151"/>
      <c r="K29" s="151"/>
      <c r="L29" s="153"/>
      <c r="M29" s="335"/>
      <c r="N29" s="5"/>
      <c r="O29" s="121"/>
      <c r="W29" s="121"/>
    </row>
    <row r="30" spans="1:23" ht="13.5" customHeight="1" x14ac:dyDescent="0.2">
      <c r="B30" s="166" t="s">
        <v>360</v>
      </c>
      <c r="C30" s="167"/>
      <c r="D30" s="152">
        <v>8190.2669999999998</v>
      </c>
      <c r="E30" s="152"/>
      <c r="F30" s="324"/>
      <c r="H30" s="121"/>
      <c r="I30" s="151"/>
      <c r="J30" s="151"/>
      <c r="K30" s="151"/>
      <c r="L30" s="193"/>
      <c r="M30" s="335"/>
      <c r="N30" s="5"/>
      <c r="O30" s="121"/>
      <c r="W30" s="121"/>
    </row>
    <row r="31" spans="1:23" ht="13.5" customHeight="1" x14ac:dyDescent="0.2">
      <c r="B31" s="149"/>
      <c r="C31" s="121"/>
      <c r="D31" s="26"/>
      <c r="E31" s="26"/>
      <c r="F31" s="159"/>
      <c r="G31" s="152"/>
      <c r="H31" s="26"/>
      <c r="I31" s="159"/>
      <c r="J31" s="151"/>
      <c r="K31" s="151"/>
      <c r="L31" s="193"/>
      <c r="M31" s="120"/>
      <c r="N31" s="5"/>
      <c r="O31" s="121"/>
      <c r="W31" s="121"/>
    </row>
    <row r="32" spans="1:23" ht="13.5" customHeight="1" x14ac:dyDescent="0.2">
      <c r="B32" s="149" t="s">
        <v>316</v>
      </c>
      <c r="C32" s="121"/>
      <c r="D32" s="26"/>
      <c r="E32" s="26"/>
      <c r="F32" s="168">
        <f>F28</f>
        <v>4845.1899999999996</v>
      </c>
      <c r="H32" s="121"/>
      <c r="I32" s="168">
        <f>I28</f>
        <v>5233.1499999999996</v>
      </c>
      <c r="J32" s="151"/>
      <c r="K32" s="168">
        <f>K28</f>
        <v>387.96000000000004</v>
      </c>
      <c r="L32" s="170">
        <f>IFERROR(ROUND(K32/F32,5), )</f>
        <v>8.0070000000000002E-2</v>
      </c>
      <c r="M32" s="184"/>
      <c r="N32" s="5"/>
      <c r="O32" s="121"/>
      <c r="W32" s="121"/>
    </row>
    <row r="33" spans="2:23" ht="13.5" customHeight="1" x14ac:dyDescent="0.2">
      <c r="B33" s="336"/>
      <c r="C33" s="337"/>
      <c r="D33" s="177"/>
      <c r="E33" s="177"/>
      <c r="F33" s="338"/>
      <c r="G33" s="339"/>
      <c r="H33" s="255"/>
      <c r="I33" s="288"/>
      <c r="J33" s="288"/>
      <c r="K33" s="255"/>
      <c r="L33" s="275"/>
      <c r="M33" s="195"/>
      <c r="N33" s="5"/>
      <c r="O33" s="121"/>
      <c r="W33" s="121"/>
    </row>
    <row r="34" spans="2:23" ht="13.5" customHeight="1" x14ac:dyDescent="0.2">
      <c r="B34" s="32"/>
      <c r="K34" s="121"/>
      <c r="L34" s="296"/>
      <c r="M34" s="120"/>
      <c r="O34" s="121"/>
      <c r="W34" s="121"/>
    </row>
    <row r="35" spans="2:23" x14ac:dyDescent="0.2">
      <c r="B35" s="213" t="s">
        <v>361</v>
      </c>
      <c r="K35" s="121"/>
      <c r="L35" s="296"/>
      <c r="M35" s="195"/>
      <c r="O35" s="121"/>
      <c r="W35" s="121"/>
    </row>
    <row r="36" spans="2:23" x14ac:dyDescent="0.2">
      <c r="B36" s="32"/>
      <c r="D36" s="215" t="s">
        <v>223</v>
      </c>
      <c r="F36" s="131" t="s">
        <v>227</v>
      </c>
      <c r="I36" s="133" t="s">
        <v>1</v>
      </c>
      <c r="K36" s="133" t="s">
        <v>225</v>
      </c>
      <c r="L36" s="296"/>
      <c r="O36" s="121"/>
      <c r="W36" s="121"/>
    </row>
    <row r="37" spans="2:23" x14ac:dyDescent="0.2">
      <c r="B37" s="32" t="s">
        <v>362</v>
      </c>
      <c r="D37" s="228">
        <f>D13+D21+D30</f>
        <v>620844874.32387137</v>
      </c>
      <c r="F37" s="212">
        <f>F14+F22+F28</f>
        <v>371522164.00579327</v>
      </c>
      <c r="G37" s="212"/>
      <c r="H37" s="212"/>
      <c r="I37" s="212">
        <f>I14+I22+I28</f>
        <v>403618690.2447409</v>
      </c>
      <c r="J37" s="212"/>
      <c r="K37" s="151">
        <f>I37-F37</f>
        <v>32096526.23894763</v>
      </c>
      <c r="L37" s="106">
        <f>K37/F37</f>
        <v>8.6391955443194335E-2</v>
      </c>
    </row>
    <row r="38" spans="2:23" ht="13.5" thickBot="1" x14ac:dyDescent="0.25">
      <c r="B38" s="32"/>
      <c r="D38" s="54"/>
      <c r="F38" s="151"/>
      <c r="I38" s="151"/>
      <c r="K38" s="151"/>
      <c r="L38" s="106"/>
    </row>
    <row r="39" spans="2:23" ht="13.5" thickBot="1" x14ac:dyDescent="0.25">
      <c r="B39" s="224" t="s">
        <v>74</v>
      </c>
      <c r="C39" s="225" t="s">
        <v>331</v>
      </c>
      <c r="D39" s="226">
        <v>373297420.99925822</v>
      </c>
      <c r="E39" s="340" t="s">
        <v>332</v>
      </c>
      <c r="F39" s="341">
        <f>D39-F37</f>
        <v>1775256.9934649467</v>
      </c>
      <c r="K39" s="121"/>
      <c r="L39" s="296"/>
      <c r="N39" s="212"/>
    </row>
    <row r="40" spans="2:23" x14ac:dyDescent="0.2">
      <c r="B40" s="32"/>
      <c r="F40" s="32"/>
      <c r="L40" s="296"/>
    </row>
    <row r="41" spans="2:23" x14ac:dyDescent="0.2">
      <c r="B41" s="27"/>
      <c r="L41" s="296"/>
    </row>
    <row r="42" spans="2:23" x14ac:dyDescent="0.2">
      <c r="B42" s="32"/>
      <c r="C42" s="32"/>
      <c r="D42" s="32"/>
      <c r="F42" s="32"/>
      <c r="G42" s="32"/>
      <c r="I42" s="32"/>
      <c r="J42" s="32"/>
      <c r="L42" s="106"/>
      <c r="M42" s="32"/>
    </row>
    <row r="43" spans="2:23" x14ac:dyDescent="0.2">
      <c r="L43" s="296"/>
    </row>
    <row r="44" spans="2:23" x14ac:dyDescent="0.2">
      <c r="L44" s="296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21" activePane="bottomLeft" state="frozen"/>
      <selection activeCell="G42" sqref="G42"/>
      <selection pane="bottomLeft"/>
    </sheetView>
  </sheetViews>
  <sheetFormatPr defaultColWidth="9.140625" defaultRowHeight="12.75" x14ac:dyDescent="0.2"/>
  <cols>
    <col min="1" max="1" width="2.42578125" style="32" customWidth="1"/>
    <col min="2" max="2" width="31.7109375" style="32" customWidth="1"/>
    <col min="3" max="3" width="9.7109375" style="32" customWidth="1"/>
    <col min="4" max="4" width="14.5703125" style="32" bestFit="1" customWidth="1"/>
    <col min="5" max="5" width="10.42578125" style="32" customWidth="1"/>
    <col min="6" max="6" width="14.7109375" style="105" bestFit="1" customWidth="1"/>
    <col min="7" max="7" width="2.85546875" style="54" customWidth="1"/>
    <col min="8" max="8" width="10.42578125" style="5" customWidth="1"/>
    <col min="9" max="9" width="15" style="105" customWidth="1"/>
    <col min="10" max="10" width="2.85546875" style="105" customWidth="1"/>
    <col min="11" max="11" width="13.28515625" style="105" customWidth="1"/>
    <col min="12" max="12" width="10.42578125" style="106" customWidth="1"/>
    <col min="13" max="13" width="2.85546875" style="107" customWidth="1"/>
    <col min="14" max="14" width="2" style="108" customWidth="1"/>
    <col min="15" max="15" width="14.5703125" style="32" customWidth="1"/>
    <col min="16" max="16" width="15" style="32" bestFit="1" customWidth="1"/>
    <col min="17" max="16384" width="9.140625" style="32"/>
  </cols>
  <sheetData>
    <row r="1" spans="1:15" x14ac:dyDescent="0.2">
      <c r="B1" s="104" t="s">
        <v>0</v>
      </c>
    </row>
    <row r="2" spans="1:15" x14ac:dyDescent="0.2">
      <c r="B2" s="25" t="s">
        <v>257</v>
      </c>
      <c r="C2" s="109"/>
      <c r="D2" s="109"/>
      <c r="E2" s="109"/>
      <c r="F2" s="110"/>
      <c r="G2" s="111"/>
      <c r="H2" s="112"/>
      <c r="I2" s="110"/>
      <c r="J2" s="110"/>
      <c r="K2" s="110"/>
      <c r="L2" s="113"/>
      <c r="M2" s="114"/>
      <c r="N2" s="114"/>
      <c r="O2" s="109"/>
    </row>
    <row r="3" spans="1:15" x14ac:dyDescent="0.2">
      <c r="B3" s="25" t="s">
        <v>369</v>
      </c>
      <c r="C3" s="109"/>
      <c r="D3" s="109"/>
      <c r="E3" s="109"/>
      <c r="F3" s="109"/>
      <c r="G3" s="112"/>
      <c r="H3" s="112"/>
      <c r="I3" s="109"/>
      <c r="J3" s="109"/>
      <c r="K3" s="109"/>
      <c r="L3" s="113"/>
      <c r="M3" s="109"/>
      <c r="N3" s="114"/>
      <c r="O3" s="109"/>
    </row>
    <row r="4" spans="1:15" x14ac:dyDescent="0.2">
      <c r="B4" s="25" t="s">
        <v>297</v>
      </c>
      <c r="C4" s="109"/>
      <c r="D4" s="109"/>
      <c r="E4" s="109"/>
      <c r="F4" s="109"/>
      <c r="G4" s="112"/>
      <c r="H4" s="112"/>
      <c r="I4" s="109"/>
      <c r="J4" s="109"/>
      <c r="K4" s="109"/>
      <c r="L4" s="113"/>
      <c r="M4" s="109"/>
      <c r="N4" s="114"/>
      <c r="O4" s="109"/>
    </row>
    <row r="5" spans="1:15" x14ac:dyDescent="0.2">
      <c r="B5" s="25" t="s">
        <v>370</v>
      </c>
      <c r="C5" s="109"/>
      <c r="D5" s="109"/>
      <c r="E5" s="109"/>
      <c r="F5" s="109"/>
      <c r="G5" s="112"/>
      <c r="H5" s="112"/>
      <c r="I5" s="109"/>
      <c r="J5" s="109"/>
      <c r="K5" s="109"/>
      <c r="L5" s="113"/>
      <c r="M5" s="109"/>
      <c r="N5" s="115"/>
      <c r="O5" s="116"/>
    </row>
    <row r="6" spans="1:15" ht="13.5" customHeight="1" x14ac:dyDescent="0.2">
      <c r="B6" s="31"/>
      <c r="C6" s="31"/>
      <c r="D6" s="31"/>
      <c r="E6" s="31"/>
      <c r="F6" s="117"/>
      <c r="G6" s="118"/>
      <c r="H6" s="29"/>
      <c r="I6" s="117"/>
      <c r="J6" s="117"/>
      <c r="K6" s="117"/>
      <c r="L6" s="119"/>
      <c r="N6" s="120"/>
      <c r="O6" s="121"/>
    </row>
    <row r="7" spans="1:15" ht="12" customHeight="1" x14ac:dyDescent="0.2">
      <c r="B7" s="122"/>
      <c r="C7" s="123"/>
      <c r="D7" s="70" t="s">
        <v>298</v>
      </c>
      <c r="E7" s="124" t="s">
        <v>299</v>
      </c>
      <c r="F7" s="125"/>
      <c r="G7" s="51"/>
      <c r="H7" s="126" t="s">
        <v>300</v>
      </c>
      <c r="I7" s="125"/>
      <c r="J7" s="127"/>
      <c r="K7" s="402" t="s">
        <v>301</v>
      </c>
      <c r="L7" s="403"/>
      <c r="M7" s="128"/>
      <c r="N7" s="115"/>
      <c r="O7" s="129" t="s">
        <v>302</v>
      </c>
    </row>
    <row r="8" spans="1:15" x14ac:dyDescent="0.2">
      <c r="B8" s="130" t="s">
        <v>67</v>
      </c>
      <c r="C8" s="131" t="s">
        <v>303</v>
      </c>
      <c r="D8" s="132" t="s">
        <v>304</v>
      </c>
      <c r="E8" s="131" t="s">
        <v>226</v>
      </c>
      <c r="F8" s="133" t="s">
        <v>305</v>
      </c>
      <c r="G8" s="132"/>
      <c r="H8" s="132" t="s">
        <v>226</v>
      </c>
      <c r="I8" s="133" t="s">
        <v>305</v>
      </c>
      <c r="J8" s="133"/>
      <c r="K8" s="133" t="s">
        <v>306</v>
      </c>
      <c r="L8" s="134" t="s">
        <v>307</v>
      </c>
      <c r="M8" s="135"/>
      <c r="N8" s="136"/>
      <c r="O8" s="137" t="s">
        <v>308</v>
      </c>
    </row>
    <row r="9" spans="1:15" x14ac:dyDescent="0.2">
      <c r="A9" s="121"/>
      <c r="B9" s="138"/>
      <c r="C9" s="138"/>
      <c r="D9" s="138"/>
      <c r="E9" s="138"/>
      <c r="F9" s="139"/>
      <c r="G9" s="51"/>
      <c r="H9" s="51"/>
      <c r="I9" s="139"/>
      <c r="J9" s="139"/>
      <c r="K9" s="139"/>
      <c r="L9" s="140"/>
      <c r="M9" s="135"/>
      <c r="N9" s="136"/>
      <c r="O9" s="121"/>
    </row>
    <row r="10" spans="1:15" x14ac:dyDescent="0.2">
      <c r="B10" s="141" t="s">
        <v>201</v>
      </c>
      <c r="C10" s="142"/>
      <c r="D10" s="143"/>
      <c r="E10" s="143"/>
      <c r="F10" s="144"/>
      <c r="G10" s="145"/>
      <c r="H10" s="146"/>
      <c r="I10" s="144"/>
      <c r="J10" s="144"/>
      <c r="K10" s="144"/>
      <c r="L10" s="147"/>
      <c r="M10" s="148"/>
      <c r="N10" s="120"/>
      <c r="O10" s="121"/>
    </row>
    <row r="11" spans="1:15" x14ac:dyDescent="0.2">
      <c r="B11" s="149"/>
      <c r="C11" s="121"/>
      <c r="D11" s="150"/>
      <c r="E11" s="121"/>
      <c r="F11" s="151"/>
      <c r="G11" s="152"/>
      <c r="H11" s="26"/>
      <c r="I11" s="151"/>
      <c r="J11" s="151"/>
      <c r="K11" s="151"/>
      <c r="L11" s="153"/>
      <c r="M11" s="148"/>
      <c r="N11" s="120"/>
      <c r="O11" s="154" t="s">
        <v>309</v>
      </c>
    </row>
    <row r="12" spans="1:15" x14ac:dyDescent="0.2">
      <c r="B12" s="155" t="s">
        <v>310</v>
      </c>
      <c r="C12" s="156" t="s">
        <v>311</v>
      </c>
      <c r="D12" s="152">
        <v>698499.36081828561</v>
      </c>
      <c r="E12" s="157">
        <v>33.840000000000003</v>
      </c>
      <c r="F12" s="151">
        <f>ROUND(D12*E12,2)</f>
        <v>23637218.370000001</v>
      </c>
      <c r="G12" s="152"/>
      <c r="H12" s="158">
        <v>38.89</v>
      </c>
      <c r="I12" s="159">
        <f>ROUND(D12*H12,2)</f>
        <v>27164640.140000001</v>
      </c>
      <c r="J12" s="151"/>
      <c r="K12" s="151">
        <f>I12-F12</f>
        <v>3527421.7699999996</v>
      </c>
      <c r="L12" s="153">
        <f>IFERROR(ROUND(K12/F12,5), )</f>
        <v>0.14923</v>
      </c>
      <c r="M12" s="148"/>
      <c r="N12" s="120"/>
      <c r="O12" s="160">
        <v>122144166.5837137</v>
      </c>
    </row>
    <row r="13" spans="1:15" x14ac:dyDescent="0.2">
      <c r="B13" s="149" t="s">
        <v>312</v>
      </c>
      <c r="C13" s="121" t="s">
        <v>223</v>
      </c>
      <c r="D13" s="152">
        <v>222166912.14539161</v>
      </c>
      <c r="E13" s="161">
        <v>0.37956000000000001</v>
      </c>
      <c r="F13" s="151">
        <f>ROUND(D13*E13,2)</f>
        <v>84325673.170000002</v>
      </c>
      <c r="G13" s="152"/>
      <c r="H13" s="162">
        <f>ROUND((O12-I12-I14-I22)/D32,5)</f>
        <v>0.41249000000000002</v>
      </c>
      <c r="I13" s="159">
        <f>ROUND(D13*H13,2)</f>
        <v>91641629.590000004</v>
      </c>
      <c r="J13" s="151"/>
      <c r="K13" s="151">
        <f>I13-F13</f>
        <v>7315956.4200000018</v>
      </c>
      <c r="L13" s="153">
        <f>IFERROR(ROUND(K13/F13,5), )</f>
        <v>8.6760000000000004E-2</v>
      </c>
      <c r="M13" s="148"/>
      <c r="N13" s="120"/>
      <c r="O13" s="163" t="s">
        <v>313</v>
      </c>
    </row>
    <row r="14" spans="1:15" x14ac:dyDescent="0.2">
      <c r="B14" s="149" t="s">
        <v>314</v>
      </c>
      <c r="C14" s="121"/>
      <c r="D14" s="152">
        <f>D13</f>
        <v>222166912.14539161</v>
      </c>
      <c r="E14" s="161">
        <v>1.371E-2</v>
      </c>
      <c r="F14" s="151">
        <f>ROUND(D14*E14,2)</f>
        <v>3045908.37</v>
      </c>
      <c r="G14" s="152"/>
      <c r="H14" s="162">
        <v>1.4919999999999999E-2</v>
      </c>
      <c r="I14" s="151">
        <f>ROUND(D14*H14,2)</f>
        <v>3314730.33</v>
      </c>
      <c r="J14" s="164"/>
      <c r="K14" s="151">
        <f>I14-F14</f>
        <v>268821.95999999996</v>
      </c>
      <c r="L14" s="153">
        <f>IFERROR(ROUND(K14/F14,5), )</f>
        <v>8.8260000000000005E-2</v>
      </c>
      <c r="M14" s="135"/>
      <c r="N14" s="135"/>
      <c r="O14" s="165">
        <f>I36-O12</f>
        <v>815.4562863111496</v>
      </c>
    </row>
    <row r="15" spans="1:15" x14ac:dyDescent="0.2">
      <c r="B15" s="166" t="s">
        <v>315</v>
      </c>
      <c r="C15" s="167"/>
      <c r="D15" s="152"/>
      <c r="E15" s="26"/>
      <c r="F15" s="168">
        <f>SUM(F12:F14)</f>
        <v>111008799.91000001</v>
      </c>
      <c r="G15" s="152"/>
      <c r="H15" s="152"/>
      <c r="I15" s="169">
        <f>SUM(I12:I14)</f>
        <v>122121000.06</v>
      </c>
      <c r="J15" s="151"/>
      <c r="K15" s="168">
        <f>SUM(K12:K14)</f>
        <v>11112200.150000002</v>
      </c>
      <c r="L15" s="170">
        <f>IFERROR(ROUND(K15/F15,5), )</f>
        <v>0.10009999999999999</v>
      </c>
      <c r="M15" s="148"/>
      <c r="N15" s="120"/>
      <c r="O15" s="171"/>
    </row>
    <row r="16" spans="1:15" x14ac:dyDescent="0.2">
      <c r="B16" s="149"/>
      <c r="C16" s="121"/>
      <c r="D16" s="26"/>
      <c r="E16" s="26"/>
      <c r="F16" s="151"/>
      <c r="G16" s="152"/>
      <c r="H16" s="152"/>
      <c r="I16" s="159"/>
      <c r="J16" s="151"/>
      <c r="K16" s="151"/>
      <c r="L16" s="153"/>
      <c r="M16" s="148"/>
      <c r="N16" s="120"/>
      <c r="O16" s="172">
        <v>9.5490287038700439E-2</v>
      </c>
    </row>
    <row r="17" spans="1:15" x14ac:dyDescent="0.2">
      <c r="B17" s="166" t="s">
        <v>316</v>
      </c>
      <c r="C17" s="121"/>
      <c r="D17" s="26"/>
      <c r="E17" s="121"/>
      <c r="F17" s="168">
        <f>F15</f>
        <v>111008799.91000001</v>
      </c>
      <c r="G17" s="173"/>
      <c r="H17" s="174"/>
      <c r="I17" s="169">
        <f>I15</f>
        <v>122121000.06</v>
      </c>
      <c r="J17" s="151"/>
      <c r="K17" s="169">
        <f>K15</f>
        <v>11112200.150000002</v>
      </c>
      <c r="L17" s="170">
        <f>ROUND(K17/F17,5)</f>
        <v>0.10009999999999999</v>
      </c>
      <c r="M17" s="148"/>
      <c r="N17" s="120"/>
      <c r="O17" s="138"/>
    </row>
    <row r="18" spans="1:15" x14ac:dyDescent="0.2">
      <c r="B18" s="175"/>
      <c r="C18" s="176"/>
      <c r="D18" s="177"/>
      <c r="E18" s="178"/>
      <c r="F18" s="179"/>
      <c r="G18" s="177"/>
      <c r="H18" s="180"/>
      <c r="I18" s="181"/>
      <c r="J18" s="182"/>
      <c r="K18" s="182"/>
      <c r="L18" s="183"/>
      <c r="M18" s="148"/>
      <c r="N18" s="120"/>
      <c r="O18" s="121"/>
    </row>
    <row r="19" spans="1:15" x14ac:dyDescent="0.2">
      <c r="A19" s="121"/>
      <c r="B19" s="121"/>
      <c r="C19" s="121"/>
      <c r="D19" s="26"/>
      <c r="E19" s="121"/>
      <c r="F19" s="184"/>
      <c r="G19" s="173"/>
      <c r="H19" s="174"/>
      <c r="I19" s="184"/>
      <c r="J19" s="184"/>
      <c r="K19" s="151"/>
      <c r="L19" s="185"/>
      <c r="M19" s="148"/>
      <c r="N19" s="120"/>
      <c r="O19" s="121"/>
    </row>
    <row r="20" spans="1:15" x14ac:dyDescent="0.2">
      <c r="A20" s="121"/>
      <c r="B20" s="186" t="s">
        <v>317</v>
      </c>
      <c r="C20" s="142"/>
      <c r="D20" s="143"/>
      <c r="E20" s="143"/>
      <c r="F20" s="144"/>
      <c r="G20" s="145"/>
      <c r="H20" s="146"/>
      <c r="I20" s="144"/>
      <c r="J20" s="144"/>
      <c r="K20" s="144"/>
      <c r="L20" s="147"/>
      <c r="M20" s="148"/>
      <c r="N20" s="120"/>
      <c r="O20" s="121"/>
    </row>
    <row r="21" spans="1:15" x14ac:dyDescent="0.2">
      <c r="A21" s="121"/>
      <c r="B21" s="149"/>
      <c r="C21" s="121"/>
      <c r="D21" s="150"/>
      <c r="E21" s="121"/>
      <c r="F21" s="151"/>
      <c r="G21" s="152"/>
      <c r="H21" s="26"/>
      <c r="I21" s="151"/>
      <c r="J21" s="151"/>
      <c r="K21" s="151"/>
      <c r="L21" s="153"/>
      <c r="M21" s="148"/>
      <c r="N21" s="120"/>
      <c r="O21" s="121"/>
    </row>
    <row r="22" spans="1:15" x14ac:dyDescent="0.2">
      <c r="A22" s="121"/>
      <c r="B22" s="155" t="s">
        <v>310</v>
      </c>
      <c r="C22" s="156" t="s">
        <v>311</v>
      </c>
      <c r="D22" s="152">
        <v>24</v>
      </c>
      <c r="E22" s="157">
        <v>364.04</v>
      </c>
      <c r="F22" s="151">
        <f>ROUND(D22*E22,2)</f>
        <v>8736.9599999999991</v>
      </c>
      <c r="G22" s="152"/>
      <c r="H22" s="158">
        <f>E22</f>
        <v>364.04</v>
      </c>
      <c r="I22" s="159">
        <f>ROUND(D22*H22,2)</f>
        <v>8736.9599999999991</v>
      </c>
      <c r="J22" s="151"/>
      <c r="K22" s="151">
        <f>I22-F22</f>
        <v>0</v>
      </c>
      <c r="L22" s="153">
        <f>IFERROR(ROUND(K22/F22,5), )</f>
        <v>0</v>
      </c>
      <c r="M22" s="148"/>
      <c r="N22" s="120"/>
      <c r="O22" s="121"/>
    </row>
    <row r="23" spans="1:15" x14ac:dyDescent="0.2">
      <c r="A23" s="121"/>
      <c r="B23" s="149" t="s">
        <v>312</v>
      </c>
      <c r="C23" s="121" t="s">
        <v>223</v>
      </c>
      <c r="D23" s="152">
        <v>36958.529999999992</v>
      </c>
      <c r="E23" s="161">
        <v>0.37956000000000001</v>
      </c>
      <c r="F23" s="151">
        <f>ROUND(D23*E23,2)</f>
        <v>14027.98</v>
      </c>
      <c r="G23" s="152"/>
      <c r="H23" s="162">
        <f>H13</f>
        <v>0.41249000000000002</v>
      </c>
      <c r="I23" s="159">
        <f>ROUND(D23*H23,2)</f>
        <v>15245.02</v>
      </c>
      <c r="J23" s="151"/>
      <c r="K23" s="151">
        <f>I23-F23</f>
        <v>1217.0400000000009</v>
      </c>
      <c r="L23" s="153">
        <f>IFERROR(ROUND(K23/F23,5), )</f>
        <v>8.6760000000000004E-2</v>
      </c>
      <c r="M23" s="148"/>
      <c r="N23" s="120"/>
      <c r="O23" s="121"/>
    </row>
    <row r="24" spans="1:15" x14ac:dyDescent="0.2">
      <c r="A24" s="121"/>
      <c r="B24" s="166" t="s">
        <v>315</v>
      </c>
      <c r="C24" s="167"/>
      <c r="D24" s="152"/>
      <c r="E24" s="26"/>
      <c r="F24" s="168">
        <f>SUM(F22:F23)</f>
        <v>22764.94</v>
      </c>
      <c r="G24" s="152"/>
      <c r="H24" s="152"/>
      <c r="I24" s="169">
        <f>SUM(I22:I23)</f>
        <v>23981.98</v>
      </c>
      <c r="J24" s="151"/>
      <c r="K24" s="169">
        <f>SUM(K22:K23)</f>
        <v>1217.0400000000009</v>
      </c>
      <c r="L24" s="170">
        <f>IFERROR(ROUND(K24/F24,5), )</f>
        <v>5.3460000000000001E-2</v>
      </c>
      <c r="M24" s="148"/>
      <c r="N24" s="120"/>
      <c r="O24" s="121"/>
    </row>
    <row r="25" spans="1:15" x14ac:dyDescent="0.2">
      <c r="A25" s="121"/>
      <c r="B25" s="149"/>
      <c r="C25" s="121"/>
      <c r="D25" s="121"/>
      <c r="E25" s="121"/>
      <c r="F25" s="187"/>
      <c r="G25" s="152"/>
      <c r="H25" s="26"/>
      <c r="I25" s="187"/>
      <c r="J25" s="187"/>
      <c r="K25" s="187"/>
      <c r="L25" s="153"/>
      <c r="M25" s="148"/>
      <c r="N25" s="120"/>
      <c r="O25" s="121"/>
    </row>
    <row r="26" spans="1:15" x14ac:dyDescent="0.2">
      <c r="A26" s="121"/>
      <c r="B26" s="166" t="s">
        <v>316</v>
      </c>
      <c r="C26" s="121"/>
      <c r="D26" s="26"/>
      <c r="E26" s="121"/>
      <c r="F26" s="168">
        <f>F24</f>
        <v>22764.94</v>
      </c>
      <c r="G26" s="173"/>
      <c r="H26" s="174"/>
      <c r="I26" s="168">
        <f>I24</f>
        <v>23981.98</v>
      </c>
      <c r="J26" s="151"/>
      <c r="K26" s="168">
        <v>1223.6925354000009</v>
      </c>
      <c r="L26" s="170">
        <f>ROUND(K26/F26,5)</f>
        <v>5.3749999999999999E-2</v>
      </c>
      <c r="M26" s="148"/>
      <c r="N26" s="120"/>
      <c r="O26" s="121"/>
    </row>
    <row r="27" spans="1:15" x14ac:dyDescent="0.2">
      <c r="A27" s="121"/>
      <c r="B27" s="175"/>
      <c r="C27" s="176"/>
      <c r="D27" s="177"/>
      <c r="E27" s="178"/>
      <c r="F27" s="179"/>
      <c r="G27" s="177"/>
      <c r="H27" s="180"/>
      <c r="I27" s="181"/>
      <c r="J27" s="182"/>
      <c r="K27" s="182"/>
      <c r="L27" s="183"/>
      <c r="M27" s="148"/>
      <c r="N27" s="120"/>
      <c r="O27" s="121"/>
    </row>
    <row r="28" spans="1:15" x14ac:dyDescent="0.2">
      <c r="A28" s="121"/>
      <c r="B28" s="121"/>
      <c r="C28" s="121"/>
      <c r="D28" s="26"/>
      <c r="E28" s="121"/>
      <c r="F28" s="184"/>
      <c r="G28" s="173"/>
      <c r="H28" s="174"/>
      <c r="I28" s="184"/>
      <c r="J28" s="184"/>
      <c r="K28" s="151"/>
      <c r="L28" s="185"/>
      <c r="M28" s="148"/>
      <c r="N28" s="120"/>
      <c r="O28" s="121"/>
    </row>
    <row r="29" spans="1:15" x14ac:dyDescent="0.2">
      <c r="A29" s="121"/>
      <c r="B29" s="141" t="s">
        <v>318</v>
      </c>
      <c r="C29" s="142"/>
      <c r="D29" s="143"/>
      <c r="E29" s="143"/>
      <c r="F29" s="144"/>
      <c r="G29" s="145"/>
      <c r="H29" s="146"/>
      <c r="I29" s="144"/>
      <c r="J29" s="144"/>
      <c r="K29" s="144"/>
      <c r="L29" s="147"/>
      <c r="M29" s="148"/>
      <c r="N29" s="120"/>
      <c r="O29" s="121"/>
    </row>
    <row r="30" spans="1:15" x14ac:dyDescent="0.2">
      <c r="A30" s="121"/>
      <c r="B30" s="149"/>
      <c r="C30" s="121"/>
      <c r="D30" s="150"/>
      <c r="E30" s="121"/>
      <c r="F30" s="151"/>
      <c r="G30" s="152"/>
      <c r="H30" s="26"/>
      <c r="I30" s="151"/>
      <c r="J30" s="151"/>
      <c r="K30" s="151"/>
      <c r="L30" s="153"/>
      <c r="M30" s="148"/>
      <c r="N30" s="120"/>
      <c r="O30" s="121"/>
    </row>
    <row r="31" spans="1:15" x14ac:dyDescent="0.2">
      <c r="A31" s="121"/>
      <c r="B31" s="155" t="s">
        <v>310</v>
      </c>
      <c r="C31" s="156" t="s">
        <v>311</v>
      </c>
      <c r="D31" s="152">
        <f>D12+D22</f>
        <v>698523.36081828561</v>
      </c>
      <c r="E31" s="157"/>
      <c r="F31" s="151">
        <f>F12+F22</f>
        <v>23645955.330000002</v>
      </c>
      <c r="G31" s="152"/>
      <c r="H31" s="188"/>
      <c r="I31" s="151">
        <f>I12+I22</f>
        <v>27173377.100000001</v>
      </c>
      <c r="J31" s="151"/>
      <c r="K31" s="151">
        <f>I31-F31</f>
        <v>3527421.7699999996</v>
      </c>
      <c r="L31" s="153">
        <f>IFERROR(ROUND(K31/F31,5), )</f>
        <v>0.14918000000000001</v>
      </c>
      <c r="M31" s="148"/>
      <c r="N31" s="120"/>
      <c r="O31" s="121"/>
    </row>
    <row r="32" spans="1:15" x14ac:dyDescent="0.2">
      <c r="A32" s="121"/>
      <c r="B32" s="149" t="s">
        <v>312</v>
      </c>
      <c r="C32" s="121" t="s">
        <v>223</v>
      </c>
      <c r="D32" s="152">
        <f>D13+D23</f>
        <v>222203870.67539161</v>
      </c>
      <c r="E32" s="161"/>
      <c r="F32" s="151">
        <f>F13+F23</f>
        <v>84339701.150000006</v>
      </c>
      <c r="G32" s="152"/>
      <c r="H32" s="189"/>
      <c r="I32" s="151">
        <f>I13+I23</f>
        <v>91656874.609999999</v>
      </c>
      <c r="J32" s="151"/>
      <c r="K32" s="151">
        <f>I32-F32</f>
        <v>7317173.4599999934</v>
      </c>
      <c r="L32" s="153">
        <f>IFERROR(ROUND(K32/F32,5), )</f>
        <v>8.6760000000000004E-2</v>
      </c>
      <c r="M32" s="148"/>
      <c r="N32" s="120"/>
      <c r="O32" s="121"/>
    </row>
    <row r="33" spans="1:15" x14ac:dyDescent="0.2">
      <c r="A33" s="121"/>
      <c r="B33" s="149" t="s">
        <v>314</v>
      </c>
      <c r="C33" s="121" t="s">
        <v>223</v>
      </c>
      <c r="D33" s="152">
        <f>D14</f>
        <v>222166912.14539161</v>
      </c>
      <c r="E33" s="161"/>
      <c r="F33" s="151">
        <f>F14</f>
        <v>3045908.37</v>
      </c>
      <c r="G33" s="152"/>
      <c r="H33" s="189"/>
      <c r="I33" s="151">
        <f>I14</f>
        <v>3314730.33</v>
      </c>
      <c r="J33" s="151"/>
      <c r="K33" s="151">
        <f>I33-F33</f>
        <v>268821.95999999996</v>
      </c>
      <c r="L33" s="153">
        <f>IFERROR(ROUND(K33/F33,5), )</f>
        <v>8.8260000000000005E-2</v>
      </c>
      <c r="M33" s="148"/>
      <c r="N33" s="120"/>
      <c r="O33" s="121"/>
    </row>
    <row r="34" spans="1:15" x14ac:dyDescent="0.2">
      <c r="A34" s="121"/>
      <c r="B34" s="166" t="s">
        <v>315</v>
      </c>
      <c r="C34" s="167"/>
      <c r="D34" s="152"/>
      <c r="E34" s="26"/>
      <c r="F34" s="168">
        <f>SUM(F31:F33)</f>
        <v>111031564.85000001</v>
      </c>
      <c r="G34" s="152"/>
      <c r="H34" s="152"/>
      <c r="I34" s="168">
        <f>SUM(I31:I33)</f>
        <v>122144982.04000001</v>
      </c>
      <c r="J34" s="151"/>
      <c r="K34" s="168">
        <f>SUM(K31:K33)</f>
        <v>11113417.189999994</v>
      </c>
      <c r="L34" s="170">
        <f>IFERROR(ROUND(K34/F34,5), )</f>
        <v>0.10009</v>
      </c>
      <c r="M34" s="148"/>
      <c r="N34" s="120"/>
      <c r="O34" s="121"/>
    </row>
    <row r="35" spans="1:15" x14ac:dyDescent="0.2">
      <c r="A35" s="121"/>
      <c r="B35" s="166"/>
      <c r="C35" s="167"/>
      <c r="D35" s="152"/>
      <c r="E35" s="26"/>
      <c r="F35" s="151"/>
      <c r="G35" s="152"/>
      <c r="H35" s="152"/>
      <c r="I35" s="151"/>
      <c r="J35" s="151"/>
      <c r="K35" s="151"/>
      <c r="L35" s="153"/>
      <c r="M35" s="148"/>
      <c r="N35" s="120"/>
      <c r="O35" s="121"/>
    </row>
    <row r="36" spans="1:15" x14ac:dyDescent="0.2">
      <c r="A36" s="121"/>
      <c r="B36" s="166" t="s">
        <v>316</v>
      </c>
      <c r="C36" s="121"/>
      <c r="D36" s="26"/>
      <c r="E36" s="121"/>
      <c r="F36" s="168">
        <f>F34</f>
        <v>111031564.85000001</v>
      </c>
      <c r="G36" s="173"/>
      <c r="H36" s="174"/>
      <c r="I36" s="168">
        <f>I34</f>
        <v>122144982.04000001</v>
      </c>
      <c r="J36" s="151"/>
      <c r="K36" s="168">
        <f>K34</f>
        <v>11113417.189999994</v>
      </c>
      <c r="L36" s="170">
        <f>ROUND(K36/F36,5)</f>
        <v>0.10009</v>
      </c>
      <c r="M36" s="148"/>
      <c r="N36" s="120"/>
      <c r="O36" s="121"/>
    </row>
    <row r="37" spans="1:15" x14ac:dyDescent="0.2">
      <c r="A37" s="121"/>
      <c r="B37" s="175"/>
      <c r="C37" s="176"/>
      <c r="D37" s="177"/>
      <c r="E37" s="178"/>
      <c r="F37" s="179"/>
      <c r="G37" s="177"/>
      <c r="H37" s="180"/>
      <c r="I37" s="181"/>
      <c r="J37" s="182"/>
      <c r="K37" s="182"/>
      <c r="L37" s="183"/>
      <c r="M37" s="148"/>
      <c r="N37" s="120"/>
      <c r="O37" s="121"/>
    </row>
    <row r="38" spans="1:15" x14ac:dyDescent="0.2">
      <c r="A38" s="121"/>
      <c r="B38" s="121"/>
      <c r="C38" s="121"/>
      <c r="D38" s="26"/>
      <c r="E38" s="121"/>
      <c r="F38" s="184"/>
      <c r="G38" s="173"/>
      <c r="H38" s="174"/>
      <c r="I38" s="184"/>
      <c r="J38" s="184"/>
      <c r="K38" s="151"/>
      <c r="L38" s="185"/>
      <c r="M38" s="148"/>
      <c r="N38" s="120"/>
      <c r="O38" s="121"/>
    </row>
    <row r="39" spans="1:15" x14ac:dyDescent="0.2">
      <c r="B39" s="186" t="s">
        <v>202</v>
      </c>
      <c r="C39" s="142"/>
      <c r="D39" s="146"/>
      <c r="E39" s="143"/>
      <c r="F39" s="144"/>
      <c r="G39" s="146"/>
      <c r="H39" s="146"/>
      <c r="I39" s="144"/>
      <c r="J39" s="144"/>
      <c r="K39" s="144"/>
      <c r="L39" s="147"/>
      <c r="M39" s="148"/>
      <c r="N39" s="120"/>
    </row>
    <row r="40" spans="1:15" x14ac:dyDescent="0.2">
      <c r="B40" s="190"/>
      <c r="C40" s="121"/>
      <c r="D40" s="26"/>
      <c r="E40" s="26"/>
      <c r="F40" s="151"/>
      <c r="G40" s="191"/>
      <c r="H40" s="26"/>
      <c r="I40" s="151"/>
      <c r="J40" s="151"/>
      <c r="K40" s="151"/>
      <c r="L40" s="153"/>
      <c r="M40" s="148"/>
      <c r="N40" s="120"/>
      <c r="O40" s="192" t="s">
        <v>319</v>
      </c>
    </row>
    <row r="41" spans="1:15" x14ac:dyDescent="0.2">
      <c r="B41" s="155" t="s">
        <v>310</v>
      </c>
      <c r="C41" s="156" t="s">
        <v>311</v>
      </c>
      <c r="D41" s="152">
        <v>14991.599999999999</v>
      </c>
      <c r="E41" s="157">
        <v>113.4</v>
      </c>
      <c r="F41" s="151">
        <f>ROUND(D41*E41,2)</f>
        <v>1700047.44</v>
      </c>
      <c r="G41" s="152"/>
      <c r="H41" s="158">
        <v>130.33000000000001</v>
      </c>
      <c r="I41" s="151">
        <f>ROUND(D41*H41,2)</f>
        <v>1953855.23</v>
      </c>
      <c r="J41" s="151"/>
      <c r="K41" s="151">
        <f>I41-F41</f>
        <v>253807.79000000004</v>
      </c>
      <c r="L41" s="193">
        <f t="shared" ref="L41:L43" si="0">IFERROR(ROUND(K41/F41,5), )</f>
        <v>0.14929000000000001</v>
      </c>
      <c r="M41" s="148"/>
      <c r="N41" s="120"/>
      <c r="O41" s="160">
        <v>22261666.953032859</v>
      </c>
    </row>
    <row r="42" spans="1:15" x14ac:dyDescent="0.2">
      <c r="B42" s="190" t="s">
        <v>320</v>
      </c>
      <c r="C42" s="156" t="s">
        <v>311</v>
      </c>
      <c r="D42" s="152">
        <f>D41</f>
        <v>14991.599999999999</v>
      </c>
      <c r="E42" s="157">
        <v>123.82</v>
      </c>
      <c r="F42" s="184">
        <f>D42*E42</f>
        <v>1856259.9119999998</v>
      </c>
      <c r="G42" s="152"/>
      <c r="H42" s="158">
        <f>ROUND(H46*900,2)</f>
        <v>126.28</v>
      </c>
      <c r="I42" s="184">
        <f>ROUND(D42*H42,2)</f>
        <v>1893139.25</v>
      </c>
      <c r="J42" s="184"/>
      <c r="K42" s="151">
        <f>I42-F42</f>
        <v>36879.338000000222</v>
      </c>
      <c r="L42" s="193">
        <f t="shared" si="0"/>
        <v>1.9869999999999999E-2</v>
      </c>
      <c r="M42" s="148"/>
      <c r="N42" s="136"/>
      <c r="O42" s="194" t="s">
        <v>313</v>
      </c>
    </row>
    <row r="43" spans="1:15" x14ac:dyDescent="0.2">
      <c r="B43" s="190" t="s">
        <v>321</v>
      </c>
      <c r="C43" s="121" t="s">
        <v>108</v>
      </c>
      <c r="D43" s="152">
        <v>4828804.7110000001</v>
      </c>
      <c r="E43" s="157">
        <v>1.25</v>
      </c>
      <c r="F43" s="184">
        <f>ROUND(D43*E43,2)</f>
        <v>6036005.8899999997</v>
      </c>
      <c r="G43" s="152"/>
      <c r="H43" s="158">
        <f>ROUND(E43*(1+$O$45),2)</f>
        <v>1.37</v>
      </c>
      <c r="I43" s="184">
        <f>ROUND(D43*H43,2)</f>
        <v>6615462.4500000002</v>
      </c>
      <c r="J43" s="184"/>
      <c r="K43" s="151">
        <f>I43-F43</f>
        <v>579456.56000000052</v>
      </c>
      <c r="L43" s="193">
        <f t="shared" si="0"/>
        <v>9.6000000000000002E-2</v>
      </c>
      <c r="M43" s="148"/>
      <c r="N43" s="136"/>
      <c r="O43" s="165">
        <f>I86-O41</f>
        <v>130.10030537843704</v>
      </c>
    </row>
    <row r="44" spans="1:15" x14ac:dyDescent="0.2">
      <c r="B44" s="190"/>
      <c r="C44" s="121"/>
      <c r="D44" s="152"/>
      <c r="E44" s="157"/>
      <c r="F44" s="164"/>
      <c r="G44" s="152"/>
      <c r="H44" s="157"/>
      <c r="I44" s="184"/>
      <c r="J44" s="184"/>
      <c r="K44" s="195"/>
      <c r="L44" s="196"/>
      <c r="M44" s="148"/>
      <c r="N44" s="136"/>
      <c r="O44" s="197"/>
    </row>
    <row r="45" spans="1:15" x14ac:dyDescent="0.2">
      <c r="B45" s="190" t="s">
        <v>322</v>
      </c>
      <c r="C45" s="121"/>
      <c r="D45" s="152"/>
      <c r="E45" s="157"/>
      <c r="F45" s="184"/>
      <c r="G45" s="152"/>
      <c r="H45" s="157"/>
      <c r="I45" s="184"/>
      <c r="J45" s="184"/>
      <c r="K45" s="195"/>
      <c r="L45" s="196"/>
      <c r="M45" s="148"/>
      <c r="N45" s="136"/>
      <c r="O45" s="172">
        <v>9.5490287038700439E-2</v>
      </c>
    </row>
    <row r="46" spans="1:15" x14ac:dyDescent="0.2">
      <c r="B46" s="190" t="s">
        <v>233</v>
      </c>
      <c r="C46" s="121" t="s">
        <v>223</v>
      </c>
      <c r="D46" s="152">
        <v>12213411.474000001</v>
      </c>
      <c r="E46" s="161">
        <v>0.13758000000000001</v>
      </c>
      <c r="F46" s="151" t="s">
        <v>323</v>
      </c>
      <c r="G46" s="152"/>
      <c r="H46" s="162">
        <f>H47</f>
        <v>0.14030999999999999</v>
      </c>
      <c r="I46" s="151" t="s">
        <v>323</v>
      </c>
      <c r="J46" s="151"/>
      <c r="K46" s="151"/>
      <c r="L46" s="153"/>
      <c r="M46" s="148"/>
      <c r="N46" s="120"/>
    </row>
    <row r="47" spans="1:15" x14ac:dyDescent="0.2">
      <c r="B47" s="190" t="s">
        <v>234</v>
      </c>
      <c r="C47" s="121" t="s">
        <v>223</v>
      </c>
      <c r="D47" s="152">
        <v>27469287.989699997</v>
      </c>
      <c r="E47" s="161">
        <v>0.13758000000000001</v>
      </c>
      <c r="F47" s="151">
        <f>ROUND(D47*E47,2)</f>
        <v>3779224.64</v>
      </c>
      <c r="G47" s="152"/>
      <c r="H47" s="162">
        <v>0.14030999999999999</v>
      </c>
      <c r="I47" s="151">
        <f>ROUND(D47*H47,2)</f>
        <v>3854215.8</v>
      </c>
      <c r="J47" s="151"/>
      <c r="K47" s="151">
        <f>I47-F47</f>
        <v>74991.159999999683</v>
      </c>
      <c r="L47" s="193">
        <f t="shared" ref="L47:L48" si="1">IFERROR(ROUND(K47/F47,5), )</f>
        <v>1.984E-2</v>
      </c>
      <c r="M47" s="148"/>
      <c r="N47" s="120"/>
    </row>
    <row r="48" spans="1:15" x14ac:dyDescent="0.2">
      <c r="B48" s="190" t="s">
        <v>324</v>
      </c>
      <c r="C48" s="121" t="s">
        <v>223</v>
      </c>
      <c r="D48" s="152">
        <v>22835291.693248168</v>
      </c>
      <c r="E48" s="161">
        <v>0.11074000000000001</v>
      </c>
      <c r="F48" s="151">
        <f>ROUND(D48*E48,2)</f>
        <v>2528780.2000000002</v>
      </c>
      <c r="G48" s="152"/>
      <c r="H48" s="162">
        <f>ROUND(E48*(1+$O$45),5)</f>
        <v>0.12131</v>
      </c>
      <c r="I48" s="151">
        <f>ROUND(D48*H48,2)</f>
        <v>2770149.24</v>
      </c>
      <c r="J48" s="151"/>
      <c r="K48" s="151">
        <f>I48-F48</f>
        <v>241369.04000000004</v>
      </c>
      <c r="L48" s="193">
        <f t="shared" si="1"/>
        <v>9.5449999999999993E-2</v>
      </c>
      <c r="M48" s="148"/>
      <c r="N48" s="120"/>
      <c r="O48" s="159"/>
    </row>
    <row r="49" spans="1:16" s="5" customFormat="1" x14ac:dyDescent="0.2">
      <c r="A49" s="26"/>
      <c r="B49" s="155" t="s">
        <v>325</v>
      </c>
      <c r="C49" s="167"/>
      <c r="D49" s="198">
        <f>SUM(D46:D48)</f>
        <v>62517991.156948164</v>
      </c>
      <c r="E49" s="150"/>
      <c r="F49" s="184"/>
      <c r="G49" s="152"/>
      <c r="H49" s="152"/>
      <c r="I49" s="26"/>
      <c r="J49" s="26"/>
      <c r="K49" s="26"/>
      <c r="L49" s="199"/>
      <c r="M49" s="200"/>
      <c r="N49" s="201"/>
      <c r="O49" s="26"/>
    </row>
    <row r="50" spans="1:16" s="5" customFormat="1" x14ac:dyDescent="0.2">
      <c r="A50" s="26"/>
      <c r="B50" s="155" t="s">
        <v>314</v>
      </c>
      <c r="C50" s="121" t="s">
        <v>223</v>
      </c>
      <c r="D50" s="152">
        <f>D49</f>
        <v>62517991.156948164</v>
      </c>
      <c r="E50" s="202">
        <v>1.005E-2</v>
      </c>
      <c r="F50" s="184">
        <f>D50*E50</f>
        <v>628305.81112732901</v>
      </c>
      <c r="G50" s="152"/>
      <c r="H50" s="162">
        <v>1.119E-2</v>
      </c>
      <c r="I50" s="184">
        <f>D50*H50</f>
        <v>699576.32104624994</v>
      </c>
      <c r="J50" s="184"/>
      <c r="K50" s="151">
        <f>I50-F50</f>
        <v>71270.509918920929</v>
      </c>
      <c r="L50" s="193">
        <f>IFERROR(ROUND(K50/F50,5), )</f>
        <v>0.11343</v>
      </c>
      <c r="M50" s="200"/>
      <c r="N50" s="201"/>
      <c r="O50" s="26"/>
      <c r="P50" s="56"/>
    </row>
    <row r="51" spans="1:16" x14ac:dyDescent="0.2">
      <c r="B51" s="166" t="s">
        <v>315</v>
      </c>
      <c r="C51" s="167"/>
      <c r="D51" s="198"/>
      <c r="E51" s="150"/>
      <c r="F51" s="203">
        <f>SUM(F41:F50)</f>
        <v>16528623.893127328</v>
      </c>
      <c r="G51" s="152"/>
      <c r="H51" s="152"/>
      <c r="I51" s="203">
        <f>SUM(I41:I43,I47:I50)</f>
        <v>17786398.291046247</v>
      </c>
      <c r="J51" s="184"/>
      <c r="K51" s="203">
        <f>SUM(K41:K50)</f>
        <v>1257774.3979189214</v>
      </c>
      <c r="L51" s="170">
        <f>ROUND(K51/F51,5)</f>
        <v>7.6100000000000001E-2</v>
      </c>
      <c r="M51" s="148"/>
      <c r="N51" s="120"/>
      <c r="O51" s="204"/>
    </row>
    <row r="52" spans="1:16" x14ac:dyDescent="0.2">
      <c r="B52" s="155"/>
      <c r="C52" s="167"/>
      <c r="D52" s="152"/>
      <c r="E52" s="121"/>
      <c r="F52" s="151"/>
      <c r="G52" s="152"/>
      <c r="H52" s="152"/>
      <c r="I52" s="184"/>
      <c r="J52" s="184"/>
      <c r="K52" s="151"/>
      <c r="L52" s="153"/>
      <c r="M52" s="148"/>
      <c r="N52" s="120"/>
      <c r="O52" s="205"/>
    </row>
    <row r="53" spans="1:16" x14ac:dyDescent="0.2">
      <c r="B53" s="155" t="s">
        <v>316</v>
      </c>
      <c r="C53" s="167"/>
      <c r="D53" s="26"/>
      <c r="E53" s="152"/>
      <c r="F53" s="203">
        <f>+F51</f>
        <v>16528623.893127328</v>
      </c>
      <c r="G53" s="152"/>
      <c r="H53" s="152"/>
      <c r="I53" s="203">
        <f>+I51</f>
        <v>17786398.291046247</v>
      </c>
      <c r="J53" s="184"/>
      <c r="K53" s="168">
        <f>K51</f>
        <v>1257774.3979189214</v>
      </c>
      <c r="L53" s="170">
        <f>ROUND(K53/F53,5)</f>
        <v>7.6100000000000001E-2</v>
      </c>
      <c r="M53" s="148"/>
      <c r="N53" s="120"/>
      <c r="O53" s="26"/>
    </row>
    <row r="54" spans="1:16" s="5" customFormat="1" x14ac:dyDescent="0.2">
      <c r="B54" s="206"/>
      <c r="C54" s="177"/>
      <c r="D54" s="177"/>
      <c r="E54" s="177"/>
      <c r="F54" s="181"/>
      <c r="G54" s="177"/>
      <c r="H54" s="177"/>
      <c r="I54" s="179"/>
      <c r="J54" s="179"/>
      <c r="K54" s="181"/>
      <c r="L54" s="207"/>
      <c r="M54" s="200"/>
      <c r="N54" s="201"/>
      <c r="O54" s="26"/>
    </row>
    <row r="55" spans="1:16" s="5" customFormat="1" x14ac:dyDescent="0.2">
      <c r="A55" s="26"/>
      <c r="B55" s="26"/>
      <c r="C55" s="26"/>
      <c r="D55" s="26"/>
      <c r="E55" s="26"/>
      <c r="F55" s="159"/>
      <c r="G55" s="26"/>
      <c r="H55" s="26"/>
      <c r="I55" s="208"/>
      <c r="J55" s="208"/>
      <c r="K55" s="159"/>
      <c r="L55" s="209"/>
      <c r="M55" s="200"/>
      <c r="N55" s="201"/>
      <c r="O55" s="26"/>
    </row>
    <row r="56" spans="1:16" s="5" customFormat="1" x14ac:dyDescent="0.2">
      <c r="A56" s="26"/>
      <c r="B56" s="186" t="s">
        <v>326</v>
      </c>
      <c r="C56" s="142"/>
      <c r="D56" s="146"/>
      <c r="E56" s="143"/>
      <c r="F56" s="144"/>
      <c r="G56" s="146"/>
      <c r="H56" s="146"/>
      <c r="I56" s="144"/>
      <c r="J56" s="144"/>
      <c r="K56" s="144"/>
      <c r="L56" s="147"/>
      <c r="M56" s="200"/>
      <c r="N56" s="201"/>
      <c r="O56" s="26"/>
    </row>
    <row r="57" spans="1:16" s="5" customFormat="1" x14ac:dyDescent="0.2">
      <c r="A57" s="26"/>
      <c r="B57" s="190"/>
      <c r="C57" s="121"/>
      <c r="D57" s="26"/>
      <c r="E57" s="26"/>
      <c r="F57" s="151"/>
      <c r="G57" s="191"/>
      <c r="H57" s="26"/>
      <c r="I57" s="151"/>
      <c r="J57" s="151"/>
      <c r="K57" s="151"/>
      <c r="L57" s="153"/>
      <c r="M57" s="200"/>
      <c r="N57" s="201"/>
      <c r="O57" s="26"/>
    </row>
    <row r="58" spans="1:16" s="5" customFormat="1" x14ac:dyDescent="0.2">
      <c r="A58" s="26"/>
      <c r="B58" s="155" t="s">
        <v>310</v>
      </c>
      <c r="C58" s="156" t="s">
        <v>311</v>
      </c>
      <c r="D58" s="152">
        <v>1040</v>
      </c>
      <c r="E58" s="157">
        <v>422.79</v>
      </c>
      <c r="F58" s="151">
        <f>ROUND(D58*E58,2)</f>
        <v>439701.6</v>
      </c>
      <c r="G58" s="152"/>
      <c r="H58" s="158">
        <f>E58</f>
        <v>422.79</v>
      </c>
      <c r="I58" s="151">
        <f>ROUND(D58*H58,2)</f>
        <v>439701.6</v>
      </c>
      <c r="J58" s="151"/>
      <c r="K58" s="151">
        <f>I58-F58</f>
        <v>0</v>
      </c>
      <c r="L58" s="193">
        <f t="shared" ref="L58:L60" si="2">IFERROR(ROUND(K58/F58,5), )</f>
        <v>0</v>
      </c>
      <c r="M58" s="200"/>
      <c r="N58" s="201"/>
      <c r="O58" s="156"/>
    </row>
    <row r="59" spans="1:16" s="5" customFormat="1" x14ac:dyDescent="0.2">
      <c r="A59" s="26"/>
      <c r="B59" s="190" t="s">
        <v>320</v>
      </c>
      <c r="C59" s="156" t="s">
        <v>311</v>
      </c>
      <c r="D59" s="152">
        <f>D58</f>
        <v>1040</v>
      </c>
      <c r="E59" s="157">
        <v>123.82</v>
      </c>
      <c r="F59" s="184">
        <f>D59*E59</f>
        <v>128772.79999999999</v>
      </c>
      <c r="G59" s="152"/>
      <c r="H59" s="158">
        <f>H42</f>
        <v>126.28</v>
      </c>
      <c r="I59" s="184">
        <f>ROUND(D59*H59,2)</f>
        <v>131331.20000000001</v>
      </c>
      <c r="J59" s="184"/>
      <c r="K59" s="151">
        <f>I59-F59</f>
        <v>2558.4000000000233</v>
      </c>
      <c r="L59" s="193">
        <f t="shared" si="2"/>
        <v>1.9869999999999999E-2</v>
      </c>
      <c r="M59" s="200"/>
      <c r="N59" s="201"/>
      <c r="O59" s="26"/>
    </row>
    <row r="60" spans="1:16" s="5" customFormat="1" x14ac:dyDescent="0.2">
      <c r="A60" s="26"/>
      <c r="B60" s="190" t="s">
        <v>321</v>
      </c>
      <c r="C60" s="121" t="s">
        <v>108</v>
      </c>
      <c r="D60" s="152">
        <v>1163206.9669999999</v>
      </c>
      <c r="E60" s="157">
        <v>1.25</v>
      </c>
      <c r="F60" s="184">
        <f>ROUND(D60*E60,2)</f>
        <v>1454008.71</v>
      </c>
      <c r="G60" s="152"/>
      <c r="H60" s="158">
        <f>H43</f>
        <v>1.37</v>
      </c>
      <c r="I60" s="184">
        <f>ROUND(D60*H60,2)</f>
        <v>1593593.54</v>
      </c>
      <c r="J60" s="26"/>
      <c r="K60" s="151">
        <f>I60-F60</f>
        <v>139584.83000000007</v>
      </c>
      <c r="L60" s="193">
        <f t="shared" si="2"/>
        <v>9.6000000000000002E-2</v>
      </c>
      <c r="M60" s="200"/>
      <c r="N60" s="201"/>
      <c r="O60" s="26"/>
    </row>
    <row r="61" spans="1:16" s="5" customFormat="1" x14ac:dyDescent="0.2">
      <c r="A61" s="26"/>
      <c r="B61" s="190"/>
      <c r="C61" s="121"/>
      <c r="D61" s="152"/>
      <c r="E61" s="157"/>
      <c r="F61" s="184"/>
      <c r="G61" s="152"/>
      <c r="H61" s="157"/>
      <c r="I61" s="184"/>
      <c r="J61" s="184"/>
      <c r="K61" s="195"/>
      <c r="L61" s="196"/>
      <c r="M61" s="200"/>
      <c r="N61" s="201"/>
      <c r="O61" s="26"/>
    </row>
    <row r="62" spans="1:16" s="5" customFormat="1" x14ac:dyDescent="0.2">
      <c r="A62" s="26"/>
      <c r="B62" s="190" t="s">
        <v>322</v>
      </c>
      <c r="C62" s="121"/>
      <c r="D62" s="152"/>
      <c r="E62" s="157"/>
      <c r="F62" s="151"/>
      <c r="G62" s="152"/>
      <c r="H62" s="157"/>
      <c r="I62" s="184"/>
      <c r="J62" s="184"/>
      <c r="K62" s="195"/>
      <c r="L62" s="196"/>
      <c r="M62" s="200"/>
      <c r="N62" s="201"/>
      <c r="O62" s="26"/>
    </row>
    <row r="63" spans="1:16" s="5" customFormat="1" x14ac:dyDescent="0.2">
      <c r="A63" s="26"/>
      <c r="B63" s="190" t="s">
        <v>233</v>
      </c>
      <c r="C63" s="121" t="s">
        <v>223</v>
      </c>
      <c r="D63" s="152">
        <v>1057148.28</v>
      </c>
      <c r="E63" s="161">
        <v>0.13758000000000001</v>
      </c>
      <c r="F63" s="151" t="s">
        <v>323</v>
      </c>
      <c r="G63" s="152"/>
      <c r="H63" s="162">
        <f>H46</f>
        <v>0.14030999999999999</v>
      </c>
      <c r="I63" s="151" t="s">
        <v>323</v>
      </c>
      <c r="J63" s="151"/>
      <c r="K63" s="151"/>
      <c r="L63" s="153"/>
      <c r="M63" s="200"/>
      <c r="N63" s="201"/>
      <c r="O63" s="26"/>
    </row>
    <row r="64" spans="1:16" s="5" customFormat="1" x14ac:dyDescent="0.2">
      <c r="A64" s="26"/>
      <c r="B64" s="190" t="s">
        <v>234</v>
      </c>
      <c r="C64" s="121" t="s">
        <v>223</v>
      </c>
      <c r="D64" s="152">
        <v>3901926.5700000003</v>
      </c>
      <c r="E64" s="161">
        <v>0.13758000000000001</v>
      </c>
      <c r="F64" s="151">
        <f>D64*E64</f>
        <v>536827.05750060012</v>
      </c>
      <c r="G64" s="152"/>
      <c r="H64" s="162">
        <f>H47</f>
        <v>0.14030999999999999</v>
      </c>
      <c r="I64" s="151">
        <f>H64*D64</f>
        <v>547479.31703669997</v>
      </c>
      <c r="J64" s="151"/>
      <c r="K64" s="151">
        <f>I64-F64</f>
        <v>10652.259536099853</v>
      </c>
      <c r="L64" s="193">
        <f t="shared" ref="L64:L65" si="3">IFERROR(ROUND(K64/F64,5), )</f>
        <v>1.984E-2</v>
      </c>
      <c r="M64" s="200"/>
      <c r="N64" s="201"/>
      <c r="O64" s="26"/>
    </row>
    <row r="65" spans="1:15" s="5" customFormat="1" x14ac:dyDescent="0.2">
      <c r="A65" s="26"/>
      <c r="B65" s="190" t="s">
        <v>324</v>
      </c>
      <c r="C65" s="121" t="s">
        <v>223</v>
      </c>
      <c r="D65" s="152">
        <v>14535430.758019032</v>
      </c>
      <c r="E65" s="161">
        <v>0.11074000000000001</v>
      </c>
      <c r="F65" s="151">
        <f>D65*E65</f>
        <v>1609653.6021430276</v>
      </c>
      <c r="G65" s="152"/>
      <c r="H65" s="162">
        <f>H48</f>
        <v>0.12131</v>
      </c>
      <c r="I65" s="151">
        <f>H65*D65</f>
        <v>1763293.1052552888</v>
      </c>
      <c r="J65" s="151"/>
      <c r="K65" s="151">
        <f>I65-F65</f>
        <v>153639.50311226118</v>
      </c>
      <c r="L65" s="193">
        <f t="shared" si="3"/>
        <v>9.5449999999999993E-2</v>
      </c>
      <c r="M65" s="200"/>
      <c r="N65" s="201"/>
      <c r="O65" s="26"/>
    </row>
    <row r="66" spans="1:15" s="5" customFormat="1" x14ac:dyDescent="0.2">
      <c r="A66" s="26"/>
      <c r="B66" s="155" t="s">
        <v>325</v>
      </c>
      <c r="C66" s="167"/>
      <c r="D66" s="198">
        <f>SUM(D63:D65)</f>
        <v>19494505.608019032</v>
      </c>
      <c r="E66" s="150"/>
      <c r="F66" s="184"/>
      <c r="G66" s="152"/>
      <c r="H66" s="152"/>
      <c r="I66" s="26"/>
      <c r="J66" s="26"/>
      <c r="K66" s="26"/>
      <c r="L66" s="199"/>
      <c r="M66" s="200"/>
      <c r="N66" s="201"/>
      <c r="O66" s="26"/>
    </row>
    <row r="67" spans="1:15" s="5" customFormat="1" x14ac:dyDescent="0.2">
      <c r="A67" s="26"/>
      <c r="B67" s="166" t="s">
        <v>315</v>
      </c>
      <c r="C67" s="167"/>
      <c r="D67" s="152"/>
      <c r="E67" s="150"/>
      <c r="F67" s="203">
        <f>SUM(F58:F66)</f>
        <v>4168963.769643628</v>
      </c>
      <c r="G67" s="152"/>
      <c r="H67" s="152"/>
      <c r="I67" s="203">
        <f>SUM(I58:I66)</f>
        <v>4475398.7622919884</v>
      </c>
      <c r="J67" s="184"/>
      <c r="K67" s="203">
        <f>SUM(K58:K66)</f>
        <v>306434.99264836113</v>
      </c>
      <c r="L67" s="170">
        <f>ROUND(K67/F67,5)</f>
        <v>7.3499999999999996E-2</v>
      </c>
      <c r="M67" s="200"/>
      <c r="N67" s="201"/>
      <c r="O67" s="26"/>
    </row>
    <row r="68" spans="1:15" s="5" customFormat="1" x14ac:dyDescent="0.2">
      <c r="A68" s="26"/>
      <c r="B68" s="155"/>
      <c r="C68" s="167"/>
      <c r="D68" s="152"/>
      <c r="E68" s="150"/>
      <c r="F68" s="184"/>
      <c r="G68" s="152"/>
      <c r="H68" s="152"/>
      <c r="I68" s="184"/>
      <c r="J68" s="184"/>
      <c r="K68" s="151"/>
      <c r="L68" s="153"/>
      <c r="M68" s="200"/>
      <c r="N68" s="201"/>
      <c r="O68" s="210"/>
    </row>
    <row r="69" spans="1:15" s="5" customFormat="1" x14ac:dyDescent="0.2">
      <c r="A69" s="26"/>
      <c r="B69" s="190" t="s">
        <v>316</v>
      </c>
      <c r="C69" s="121"/>
      <c r="D69" s="152"/>
      <c r="E69" s="161"/>
      <c r="F69" s="203">
        <f>F67</f>
        <v>4168963.769643628</v>
      </c>
      <c r="G69" s="26"/>
      <c r="H69" s="157"/>
      <c r="I69" s="203">
        <f>I67</f>
        <v>4475398.7622919884</v>
      </c>
      <c r="J69" s="151"/>
      <c r="K69" s="168">
        <f>K67</f>
        <v>306434.99264836113</v>
      </c>
      <c r="L69" s="170">
        <f>ROUND(K69/F69,5)</f>
        <v>7.3499999999999996E-2</v>
      </c>
      <c r="M69" s="200"/>
      <c r="N69" s="201"/>
      <c r="O69" s="159"/>
    </row>
    <row r="70" spans="1:15" s="5" customFormat="1" x14ac:dyDescent="0.2">
      <c r="A70" s="26"/>
      <c r="B70" s="206"/>
      <c r="C70" s="177"/>
      <c r="D70" s="177"/>
      <c r="E70" s="177"/>
      <c r="F70" s="181"/>
      <c r="G70" s="177"/>
      <c r="H70" s="177"/>
      <c r="I70" s="179"/>
      <c r="J70" s="179"/>
      <c r="K70" s="181"/>
      <c r="L70" s="207"/>
      <c r="M70" s="200"/>
      <c r="N70" s="201"/>
      <c r="O70" s="210"/>
    </row>
    <row r="71" spans="1:15" s="5" customFormat="1" x14ac:dyDescent="0.2">
      <c r="A71" s="26"/>
      <c r="B71" s="26"/>
      <c r="C71" s="26"/>
      <c r="D71" s="26"/>
      <c r="E71" s="26"/>
      <c r="F71" s="159"/>
      <c r="G71" s="26"/>
      <c r="H71" s="26"/>
      <c r="I71" s="208"/>
      <c r="J71" s="208"/>
      <c r="K71" s="159"/>
      <c r="L71" s="209"/>
      <c r="M71" s="200"/>
      <c r="N71" s="201"/>
      <c r="O71" s="210"/>
    </row>
    <row r="72" spans="1:15" s="5" customFormat="1" x14ac:dyDescent="0.2">
      <c r="A72" s="26"/>
      <c r="B72" s="186" t="s">
        <v>327</v>
      </c>
      <c r="C72" s="142"/>
      <c r="D72" s="146"/>
      <c r="E72" s="143"/>
      <c r="F72" s="144"/>
      <c r="G72" s="146"/>
      <c r="H72" s="146"/>
      <c r="I72" s="144"/>
      <c r="J72" s="144"/>
      <c r="K72" s="144"/>
      <c r="L72" s="147"/>
      <c r="M72" s="200"/>
      <c r="N72" s="201"/>
      <c r="O72" s="210"/>
    </row>
    <row r="73" spans="1:15" s="5" customFormat="1" x14ac:dyDescent="0.2">
      <c r="A73" s="26"/>
      <c r="B73" s="149"/>
      <c r="C73" s="121"/>
      <c r="D73" s="26"/>
      <c r="E73" s="26"/>
      <c r="F73" s="151"/>
      <c r="G73" s="191"/>
      <c r="H73" s="26"/>
      <c r="I73" s="151"/>
      <c r="J73" s="151"/>
      <c r="K73" s="151"/>
      <c r="L73" s="153"/>
      <c r="M73" s="200"/>
      <c r="N73" s="201"/>
      <c r="O73" s="210"/>
    </row>
    <row r="74" spans="1:15" s="5" customFormat="1" x14ac:dyDescent="0.2">
      <c r="A74" s="26"/>
      <c r="B74" s="155" t="s">
        <v>310</v>
      </c>
      <c r="C74" s="156" t="s">
        <v>311</v>
      </c>
      <c r="D74" s="152">
        <f>D58+D41</f>
        <v>16031.599999999999</v>
      </c>
      <c r="E74" s="157"/>
      <c r="F74" s="151">
        <f>F58+F41</f>
        <v>2139749.04</v>
      </c>
      <c r="G74" s="152"/>
      <c r="H74" s="188"/>
      <c r="I74" s="151">
        <f>I58+I41</f>
        <v>2393556.83</v>
      </c>
      <c r="J74" s="151"/>
      <c r="K74" s="151">
        <f>K58+K41</f>
        <v>253807.79000000004</v>
      </c>
      <c r="L74" s="193">
        <f t="shared" ref="L74:L76" si="4">IFERROR(ROUND(K74/F74,5), )</f>
        <v>0.11862</v>
      </c>
      <c r="M74" s="200"/>
      <c r="N74" s="201"/>
      <c r="O74" s="210"/>
    </row>
    <row r="75" spans="1:15" s="5" customFormat="1" x14ac:dyDescent="0.2">
      <c r="A75" s="26"/>
      <c r="B75" s="190" t="s">
        <v>320</v>
      </c>
      <c r="C75" s="156" t="s">
        <v>311</v>
      </c>
      <c r="D75" s="152">
        <f>D74</f>
        <v>16031.599999999999</v>
      </c>
      <c r="E75" s="157"/>
      <c r="F75" s="151">
        <f>F59+F42</f>
        <v>1985032.7119999998</v>
      </c>
      <c r="G75" s="152"/>
      <c r="H75" s="157"/>
      <c r="I75" s="151">
        <f>I59+I42</f>
        <v>2024470.45</v>
      </c>
      <c r="J75" s="184"/>
      <c r="K75" s="151">
        <f>K59+K42</f>
        <v>39437.738000000245</v>
      </c>
      <c r="L75" s="193">
        <f t="shared" si="4"/>
        <v>1.9869999999999999E-2</v>
      </c>
      <c r="M75" s="200"/>
      <c r="N75" s="201"/>
      <c r="O75" s="210"/>
    </row>
    <row r="76" spans="1:15" s="5" customFormat="1" x14ac:dyDescent="0.2">
      <c r="A76" s="26"/>
      <c r="B76" s="149" t="s">
        <v>321</v>
      </c>
      <c r="C76" s="121" t="s">
        <v>108</v>
      </c>
      <c r="D76" s="152">
        <f>D60+D43</f>
        <v>5992011.6780000003</v>
      </c>
      <c r="E76" s="157"/>
      <c r="F76" s="151">
        <f>F60+F43</f>
        <v>7490014.5999999996</v>
      </c>
      <c r="G76" s="152"/>
      <c r="H76" s="188"/>
      <c r="I76" s="151">
        <f>I60+I43</f>
        <v>8209055.9900000002</v>
      </c>
      <c r="J76" s="184"/>
      <c r="K76" s="151">
        <f>K60+K43</f>
        <v>719041.3900000006</v>
      </c>
      <c r="L76" s="193">
        <f t="shared" si="4"/>
        <v>9.6000000000000002E-2</v>
      </c>
      <c r="M76" s="200"/>
      <c r="N76" s="201"/>
      <c r="O76" s="210"/>
    </row>
    <row r="77" spans="1:15" s="5" customFormat="1" x14ac:dyDescent="0.2">
      <c r="A77" s="26"/>
      <c r="B77" s="149"/>
      <c r="C77" s="121"/>
      <c r="D77" s="152"/>
      <c r="E77" s="157"/>
      <c r="F77" s="184"/>
      <c r="G77" s="152"/>
      <c r="H77" s="157"/>
      <c r="I77" s="184"/>
      <c r="J77" s="184"/>
      <c r="K77" s="195"/>
      <c r="L77" s="196"/>
      <c r="M77" s="200"/>
      <c r="N77" s="201"/>
      <c r="O77" s="210"/>
    </row>
    <row r="78" spans="1:15" s="5" customFormat="1" x14ac:dyDescent="0.2">
      <c r="A78" s="26"/>
      <c r="B78" s="149" t="s">
        <v>322</v>
      </c>
      <c r="C78" s="121"/>
      <c r="D78" s="152"/>
      <c r="E78" s="157"/>
      <c r="F78" s="151"/>
      <c r="G78" s="152"/>
      <c r="H78" s="157"/>
      <c r="I78" s="184"/>
      <c r="J78" s="184"/>
      <c r="K78" s="195"/>
      <c r="L78" s="196"/>
      <c r="M78" s="200"/>
      <c r="N78" s="201"/>
      <c r="O78" s="210"/>
    </row>
    <row r="79" spans="1:15" s="5" customFormat="1" x14ac:dyDescent="0.2">
      <c r="A79" s="26"/>
      <c r="B79" s="190" t="s">
        <v>233</v>
      </c>
      <c r="C79" s="121" t="s">
        <v>223</v>
      </c>
      <c r="D79" s="152">
        <f>D63+D46</f>
        <v>13270559.754000001</v>
      </c>
      <c r="E79" s="161"/>
      <c r="F79" s="151" t="s">
        <v>323</v>
      </c>
      <c r="G79" s="152"/>
      <c r="H79" s="161"/>
      <c r="I79" s="151" t="s">
        <v>323</v>
      </c>
      <c r="J79" s="151"/>
      <c r="K79" s="151"/>
      <c r="L79" s="153"/>
      <c r="M79" s="200"/>
      <c r="N79" s="201"/>
      <c r="O79" s="210"/>
    </row>
    <row r="80" spans="1:15" s="5" customFormat="1" x14ac:dyDescent="0.2">
      <c r="A80" s="26"/>
      <c r="B80" s="190" t="s">
        <v>234</v>
      </c>
      <c r="C80" s="121" t="s">
        <v>223</v>
      </c>
      <c r="D80" s="152">
        <f>D64+D47</f>
        <v>31371214.559699997</v>
      </c>
      <c r="E80" s="161"/>
      <c r="F80" s="151">
        <f>F64+F47</f>
        <v>4316051.6975006005</v>
      </c>
      <c r="G80" s="152"/>
      <c r="H80" s="161"/>
      <c r="I80" s="151">
        <f>I64+I47</f>
        <v>4401695.1170367002</v>
      </c>
      <c r="J80" s="151"/>
      <c r="K80" s="151">
        <f>K64+K47</f>
        <v>85643.419536099536</v>
      </c>
      <c r="L80" s="193">
        <f t="shared" ref="L80:L81" si="5">IFERROR(ROUND(K80/F80,5), )</f>
        <v>1.984E-2</v>
      </c>
      <c r="M80" s="200"/>
      <c r="N80" s="201"/>
      <c r="O80" s="210"/>
    </row>
    <row r="81" spans="1:15" s="5" customFormat="1" x14ac:dyDescent="0.2">
      <c r="A81" s="26"/>
      <c r="B81" s="190" t="s">
        <v>324</v>
      </c>
      <c r="C81" s="121" t="s">
        <v>223</v>
      </c>
      <c r="D81" s="211">
        <f>D65+D48</f>
        <v>37370722.451267198</v>
      </c>
      <c r="E81" s="161"/>
      <c r="F81" s="151">
        <f>F65+F48</f>
        <v>4138433.802143028</v>
      </c>
      <c r="G81" s="152"/>
      <c r="H81" s="161"/>
      <c r="I81" s="151">
        <f>I65+I48</f>
        <v>4533442.3452552892</v>
      </c>
      <c r="J81" s="151"/>
      <c r="K81" s="151">
        <f>K65+K48</f>
        <v>395008.54311226122</v>
      </c>
      <c r="L81" s="193">
        <f t="shared" si="5"/>
        <v>9.5449999999999993E-2</v>
      </c>
      <c r="M81" s="200"/>
      <c r="N81" s="201"/>
      <c r="O81" s="210"/>
    </row>
    <row r="82" spans="1:15" s="5" customFormat="1" x14ac:dyDescent="0.2">
      <c r="A82" s="26"/>
      <c r="B82" s="166" t="s">
        <v>325</v>
      </c>
      <c r="C82" s="167"/>
      <c r="D82" s="198">
        <f>SUM(D79:D81)</f>
        <v>82012496.764967203</v>
      </c>
      <c r="E82" s="150"/>
      <c r="F82" s="184"/>
      <c r="G82" s="152"/>
      <c r="H82" s="152"/>
      <c r="I82" s="26"/>
      <c r="J82" s="26"/>
      <c r="K82" s="26"/>
      <c r="L82" s="199"/>
      <c r="M82" s="200"/>
      <c r="N82" s="201"/>
      <c r="O82" s="210"/>
    </row>
    <row r="83" spans="1:15" s="5" customFormat="1" x14ac:dyDescent="0.2">
      <c r="A83" s="26"/>
      <c r="B83" s="149" t="s">
        <v>314</v>
      </c>
      <c r="C83" s="121" t="s">
        <v>223</v>
      </c>
      <c r="D83" s="152">
        <f>D50</f>
        <v>62517991.156948164</v>
      </c>
      <c r="E83" s="161"/>
      <c r="F83" s="151">
        <f>F50</f>
        <v>628305.81112732901</v>
      </c>
      <c r="G83" s="152"/>
      <c r="H83" s="189"/>
      <c r="I83" s="151">
        <f>I50</f>
        <v>699576.32104624994</v>
      </c>
      <c r="J83" s="151"/>
      <c r="K83" s="151">
        <f>I83-F83</f>
        <v>71270.509918920929</v>
      </c>
      <c r="L83" s="153">
        <f>IFERROR(ROUND(K83/F83,5), )</f>
        <v>0.11343</v>
      </c>
      <c r="M83" s="200"/>
      <c r="N83" s="201"/>
      <c r="O83" s="210"/>
    </row>
    <row r="84" spans="1:15" s="5" customFormat="1" x14ac:dyDescent="0.2">
      <c r="A84" s="26"/>
      <c r="B84" s="166" t="s">
        <v>315</v>
      </c>
      <c r="C84" s="167"/>
      <c r="D84" s="152"/>
      <c r="E84" s="150"/>
      <c r="F84" s="203">
        <f>SUM(F74:F83)</f>
        <v>20697587.662770957</v>
      </c>
      <c r="G84" s="152"/>
      <c r="H84" s="152"/>
      <c r="I84" s="203">
        <f>SUM(I74:I83)</f>
        <v>22261797.053338237</v>
      </c>
      <c r="J84" s="184"/>
      <c r="K84" s="203">
        <f>SUM(K74:K82)</f>
        <v>1492938.8806483615</v>
      </c>
      <c r="L84" s="170">
        <f>ROUND(K84/F84,5)</f>
        <v>7.213E-2</v>
      </c>
      <c r="M84" s="200"/>
      <c r="N84" s="201"/>
      <c r="O84" s="210"/>
    </row>
    <row r="85" spans="1:15" s="5" customFormat="1" x14ac:dyDescent="0.2">
      <c r="A85" s="26"/>
      <c r="B85" s="166"/>
      <c r="C85" s="167"/>
      <c r="D85" s="152"/>
      <c r="E85" s="150"/>
      <c r="F85" s="184"/>
      <c r="G85" s="152"/>
      <c r="H85" s="152"/>
      <c r="I85" s="184"/>
      <c r="J85" s="184"/>
      <c r="K85" s="151"/>
      <c r="L85" s="153"/>
      <c r="M85" s="200"/>
      <c r="N85" s="201"/>
      <c r="O85" s="210"/>
    </row>
    <row r="86" spans="1:15" s="5" customFormat="1" x14ac:dyDescent="0.2">
      <c r="A86" s="26"/>
      <c r="B86" s="149" t="s">
        <v>316</v>
      </c>
      <c r="C86" s="121"/>
      <c r="D86" s="152"/>
      <c r="E86" s="161"/>
      <c r="F86" s="203">
        <f>F84</f>
        <v>20697587.662770957</v>
      </c>
      <c r="G86" s="26"/>
      <c r="H86" s="157"/>
      <c r="I86" s="203">
        <f>I84</f>
        <v>22261797.053338237</v>
      </c>
      <c r="J86" s="151"/>
      <c r="K86" s="168">
        <f>K84</f>
        <v>1492938.8806483615</v>
      </c>
      <c r="L86" s="170">
        <f>ROUND(K86/F86,5)</f>
        <v>7.213E-2</v>
      </c>
      <c r="M86" s="200"/>
      <c r="N86" s="201"/>
      <c r="O86" s="121"/>
    </row>
    <row r="87" spans="1:15" s="5" customFormat="1" x14ac:dyDescent="0.2">
      <c r="A87" s="26"/>
      <c r="B87" s="206"/>
      <c r="C87" s="177"/>
      <c r="D87" s="177"/>
      <c r="E87" s="177"/>
      <c r="F87" s="181"/>
      <c r="G87" s="177"/>
      <c r="H87" s="177"/>
      <c r="I87" s="179"/>
      <c r="J87" s="179"/>
      <c r="K87" s="181"/>
      <c r="L87" s="207"/>
      <c r="M87" s="200"/>
      <c r="N87" s="201"/>
      <c r="O87" s="121"/>
    </row>
    <row r="88" spans="1:15" s="26" customFormat="1" x14ac:dyDescent="0.2">
      <c r="F88" s="159"/>
      <c r="I88" s="208"/>
      <c r="J88" s="208"/>
      <c r="K88" s="159"/>
      <c r="L88" s="209"/>
      <c r="M88" s="200"/>
      <c r="N88" s="201"/>
      <c r="O88" s="138"/>
    </row>
    <row r="89" spans="1:15" x14ac:dyDescent="0.2">
      <c r="B89" s="121"/>
      <c r="F89" s="212"/>
      <c r="I89" s="212"/>
      <c r="J89" s="212"/>
      <c r="K89" s="212"/>
      <c r="M89" s="148"/>
      <c r="N89" s="120"/>
      <c r="O89" s="138"/>
    </row>
    <row r="90" spans="1:15" x14ac:dyDescent="0.2">
      <c r="B90" s="213" t="s">
        <v>328</v>
      </c>
      <c r="F90" s="212"/>
      <c r="I90" s="212"/>
      <c r="J90" s="212"/>
      <c r="K90" s="212"/>
      <c r="M90" s="148"/>
      <c r="N90" s="120"/>
      <c r="O90" s="214"/>
    </row>
    <row r="91" spans="1:15" x14ac:dyDescent="0.2">
      <c r="D91" s="215" t="s">
        <v>223</v>
      </c>
      <c r="F91" s="216" t="s">
        <v>227</v>
      </c>
      <c r="I91" s="216" t="s">
        <v>1</v>
      </c>
      <c r="J91" s="212"/>
      <c r="K91" s="216" t="s">
        <v>225</v>
      </c>
      <c r="M91" s="148"/>
      <c r="N91" s="120"/>
    </row>
    <row r="92" spans="1:15" x14ac:dyDescent="0.2">
      <c r="B92" s="213" t="s">
        <v>316</v>
      </c>
      <c r="C92" s="217"/>
      <c r="D92" s="150"/>
      <c r="E92" s="217"/>
      <c r="F92" s="217"/>
      <c r="G92" s="218"/>
      <c r="H92" s="218"/>
      <c r="I92" s="217"/>
      <c r="J92" s="217"/>
      <c r="K92" s="219"/>
      <c r="M92" s="220"/>
    </row>
    <row r="93" spans="1:15" x14ac:dyDescent="0.2">
      <c r="B93" s="32" t="s">
        <v>329</v>
      </c>
      <c r="C93" s="217"/>
      <c r="D93" s="150">
        <f>D32</f>
        <v>222203870.67539161</v>
      </c>
      <c r="E93" s="217"/>
      <c r="F93" s="217">
        <f>F15+F24</f>
        <v>111031564.85000001</v>
      </c>
      <c r="G93" s="217"/>
      <c r="H93" s="218"/>
      <c r="I93" s="217">
        <f>I15+I24</f>
        <v>122144982.04000001</v>
      </c>
      <c r="J93" s="217"/>
      <c r="K93" s="219">
        <f>I93-F93</f>
        <v>11113417.189999998</v>
      </c>
      <c r="L93" s="106">
        <f>K93/F93</f>
        <v>0.10009241250462297</v>
      </c>
      <c r="M93" s="220"/>
    </row>
    <row r="94" spans="1:15" x14ac:dyDescent="0.2">
      <c r="B94" s="32" t="s">
        <v>330</v>
      </c>
      <c r="C94" s="217"/>
      <c r="D94" s="221">
        <f>D66</f>
        <v>19494505.608019032</v>
      </c>
      <c r="E94" s="217"/>
      <c r="F94" s="217">
        <f>F51+F67</f>
        <v>20697587.662770957</v>
      </c>
      <c r="G94" s="217"/>
      <c r="H94" s="218"/>
      <c r="I94" s="217">
        <f>I51+I67</f>
        <v>22261797.053338237</v>
      </c>
      <c r="J94" s="217"/>
      <c r="K94" s="219">
        <f>I94-F94</f>
        <v>1564209.3905672804</v>
      </c>
      <c r="L94" s="106">
        <f>K94/F94</f>
        <v>7.5574478342751314E-2</v>
      </c>
      <c r="M94" s="220"/>
    </row>
    <row r="95" spans="1:15" x14ac:dyDescent="0.2">
      <c r="B95" s="32" t="s">
        <v>16</v>
      </c>
      <c r="C95" s="217"/>
      <c r="D95" s="222">
        <f>SUM(D93:D94)</f>
        <v>241698376.28341064</v>
      </c>
      <c r="E95" s="217"/>
      <c r="F95" s="223">
        <f>SUM(F93:F94)</f>
        <v>131729152.51277097</v>
      </c>
      <c r="G95" s="217"/>
      <c r="H95" s="218"/>
      <c r="I95" s="223">
        <f>SUM(I93:I94)</f>
        <v>144406779.09333825</v>
      </c>
      <c r="J95" s="217"/>
      <c r="K95" s="223">
        <f>SUM(K93:K94)</f>
        <v>12677626.580567278</v>
      </c>
      <c r="L95" s="106">
        <f>K95/F95</f>
        <v>9.624009825264912E-2</v>
      </c>
      <c r="M95" s="220"/>
    </row>
    <row r="96" spans="1:15" ht="13.5" thickBot="1" x14ac:dyDescent="0.25">
      <c r="C96" s="217"/>
      <c r="D96" s="221"/>
      <c r="E96" s="217"/>
      <c r="F96" s="217"/>
      <c r="G96" s="217"/>
      <c r="H96" s="217"/>
      <c r="I96" s="217"/>
      <c r="J96" s="217"/>
      <c r="K96" s="217"/>
      <c r="M96" s="220"/>
    </row>
    <row r="97" spans="2:13" ht="13.5" thickBot="1" x14ac:dyDescent="0.25">
      <c r="B97" s="224" t="s">
        <v>74</v>
      </c>
      <c r="C97" s="225" t="s">
        <v>331</v>
      </c>
      <c r="D97" s="226">
        <v>131691503.15920852</v>
      </c>
      <c r="E97" s="225" t="s">
        <v>332</v>
      </c>
      <c r="F97" s="227">
        <f>D97-F95</f>
        <v>-37649.353562444448</v>
      </c>
      <c r="G97" s="218"/>
      <c r="H97" s="218"/>
      <c r="I97" s="217"/>
      <c r="J97" s="217"/>
      <c r="K97" s="217"/>
      <c r="M97" s="220"/>
    </row>
    <row r="98" spans="2:13" x14ac:dyDescent="0.2">
      <c r="C98" s="217"/>
      <c r="D98" s="217"/>
      <c r="E98" s="217"/>
      <c r="F98" s="217"/>
      <c r="G98" s="218"/>
      <c r="H98" s="218"/>
      <c r="I98" s="217"/>
      <c r="J98" s="217"/>
      <c r="K98" s="217"/>
      <c r="M98" s="220"/>
    </row>
    <row r="99" spans="2:13" x14ac:dyDescent="0.2">
      <c r="D99" s="228"/>
      <c r="F99" s="32"/>
      <c r="G99" s="218"/>
      <c r="H99" s="218"/>
      <c r="I99" s="217"/>
      <c r="J99" s="217"/>
      <c r="K99" s="217"/>
      <c r="M99" s="220"/>
    </row>
    <row r="100" spans="2:13" x14ac:dyDescent="0.2">
      <c r="C100" s="217"/>
      <c r="D100" s="217"/>
      <c r="E100" s="217"/>
      <c r="F100" s="217"/>
      <c r="G100" s="218"/>
      <c r="H100" s="218"/>
      <c r="I100" s="217"/>
      <c r="J100" s="217"/>
      <c r="K100" s="217"/>
      <c r="M100" s="220"/>
    </row>
    <row r="101" spans="2:13" x14ac:dyDescent="0.2">
      <c r="C101" s="217"/>
      <c r="D101" s="217"/>
      <c r="E101" s="217"/>
      <c r="F101" s="217"/>
      <c r="G101" s="218"/>
      <c r="H101" s="218"/>
      <c r="I101" s="217"/>
      <c r="J101" s="217"/>
      <c r="K101" s="217"/>
      <c r="M101" s="220"/>
    </row>
    <row r="102" spans="2:13" x14ac:dyDescent="0.2">
      <c r="C102" s="217"/>
      <c r="D102" s="217"/>
      <c r="E102" s="217"/>
      <c r="F102" s="217"/>
      <c r="G102" s="218"/>
      <c r="H102" s="218"/>
      <c r="I102" s="217"/>
      <c r="J102" s="217"/>
      <c r="K102" s="217"/>
      <c r="M102" s="220"/>
    </row>
    <row r="103" spans="2:13" x14ac:dyDescent="0.2">
      <c r="C103" s="217"/>
      <c r="D103" s="217"/>
      <c r="E103" s="217"/>
      <c r="F103" s="217"/>
      <c r="G103" s="218"/>
      <c r="H103" s="218"/>
      <c r="I103" s="217"/>
      <c r="J103" s="217"/>
      <c r="K103" s="217"/>
      <c r="M103" s="220"/>
    </row>
    <row r="104" spans="2:13" x14ac:dyDescent="0.2">
      <c r="C104" s="217"/>
      <c r="D104" s="217"/>
      <c r="E104" s="217"/>
      <c r="F104" s="217"/>
      <c r="G104" s="218"/>
      <c r="H104" s="218"/>
      <c r="I104" s="217"/>
      <c r="J104" s="217"/>
      <c r="K104" s="217"/>
      <c r="M104" s="220"/>
    </row>
    <row r="105" spans="2:13" x14ac:dyDescent="0.2">
      <c r="C105" s="217"/>
      <c r="D105" s="217"/>
      <c r="E105" s="217"/>
      <c r="F105" s="217"/>
      <c r="G105" s="218"/>
      <c r="H105" s="218"/>
      <c r="I105" s="217"/>
      <c r="J105" s="217"/>
      <c r="K105" s="217"/>
      <c r="M105" s="220"/>
    </row>
    <row r="106" spans="2:13" x14ac:dyDescent="0.2">
      <c r="C106" s="217"/>
      <c r="D106" s="217"/>
      <c r="E106" s="217"/>
      <c r="F106" s="217"/>
      <c r="G106" s="218"/>
      <c r="H106" s="218"/>
      <c r="I106" s="217"/>
      <c r="J106" s="217"/>
      <c r="K106" s="217"/>
      <c r="M106" s="220"/>
    </row>
    <row r="107" spans="2:13" x14ac:dyDescent="0.2">
      <c r="C107" s="217"/>
      <c r="D107" s="217"/>
      <c r="E107" s="217"/>
      <c r="F107" s="217"/>
      <c r="G107" s="218"/>
      <c r="H107" s="218"/>
      <c r="I107" s="217"/>
      <c r="J107" s="217"/>
      <c r="K107" s="217"/>
      <c r="M107" s="220"/>
    </row>
    <row r="108" spans="2:13" x14ac:dyDescent="0.2">
      <c r="C108" s="217"/>
      <c r="D108" s="217"/>
      <c r="E108" s="217"/>
      <c r="F108" s="217"/>
      <c r="G108" s="218"/>
      <c r="H108" s="218"/>
      <c r="I108" s="217"/>
      <c r="J108" s="217"/>
      <c r="K108" s="217"/>
      <c r="M108" s="220"/>
    </row>
    <row r="109" spans="2:13" x14ac:dyDescent="0.2">
      <c r="C109" s="217"/>
      <c r="D109" s="217"/>
      <c r="E109" s="217"/>
      <c r="F109" s="217"/>
      <c r="G109" s="218"/>
      <c r="H109" s="218"/>
      <c r="I109" s="217"/>
      <c r="J109" s="217"/>
      <c r="K109" s="217"/>
      <c r="M109" s="220"/>
    </row>
    <row r="110" spans="2:13" x14ac:dyDescent="0.2">
      <c r="C110" s="217"/>
      <c r="D110" s="217"/>
      <c r="E110" s="217"/>
      <c r="F110" s="217"/>
      <c r="G110" s="218"/>
      <c r="H110" s="218"/>
      <c r="I110" s="217"/>
      <c r="J110" s="217"/>
      <c r="K110" s="217"/>
      <c r="M110" s="220"/>
    </row>
    <row r="111" spans="2:13" x14ac:dyDescent="0.2">
      <c r="C111" s="217"/>
      <c r="D111" s="217"/>
      <c r="E111" s="217"/>
      <c r="F111" s="217"/>
      <c r="G111" s="218"/>
      <c r="H111" s="218"/>
      <c r="I111" s="217"/>
      <c r="J111" s="217"/>
      <c r="K111" s="217"/>
      <c r="M111" s="220"/>
    </row>
    <row r="112" spans="2:13" x14ac:dyDescent="0.2">
      <c r="C112" s="217"/>
      <c r="D112" s="217"/>
      <c r="E112" s="217"/>
      <c r="F112" s="217"/>
      <c r="G112" s="218"/>
      <c r="H112" s="218"/>
      <c r="I112" s="217"/>
      <c r="J112" s="217"/>
      <c r="K112" s="217"/>
      <c r="M112" s="220"/>
    </row>
    <row r="113" spans="3:13" x14ac:dyDescent="0.2">
      <c r="C113" s="217"/>
      <c r="D113" s="217"/>
      <c r="E113" s="217"/>
      <c r="F113" s="217"/>
      <c r="G113" s="218"/>
      <c r="H113" s="218"/>
      <c r="I113" s="217"/>
      <c r="J113" s="217"/>
      <c r="K113" s="217"/>
      <c r="M113" s="220"/>
    </row>
    <row r="114" spans="3:13" x14ac:dyDescent="0.2">
      <c r="C114" s="217"/>
      <c r="D114" s="217"/>
      <c r="E114" s="217"/>
      <c r="F114" s="217"/>
      <c r="G114" s="218"/>
      <c r="H114" s="218"/>
      <c r="I114" s="217"/>
      <c r="J114" s="217"/>
      <c r="K114" s="217"/>
      <c r="M114" s="220"/>
    </row>
    <row r="115" spans="3:13" x14ac:dyDescent="0.2">
      <c r="C115" s="217"/>
      <c r="D115" s="217"/>
      <c r="E115" s="217"/>
      <c r="F115" s="217"/>
      <c r="G115" s="218"/>
      <c r="H115" s="218"/>
      <c r="I115" s="217"/>
      <c r="J115" s="217"/>
      <c r="K115" s="217"/>
      <c r="M115" s="220"/>
    </row>
    <row r="116" spans="3:13" x14ac:dyDescent="0.2">
      <c r="C116" s="217"/>
      <c r="D116" s="217"/>
      <c r="E116" s="217"/>
      <c r="F116" s="217"/>
      <c r="G116" s="218"/>
      <c r="H116" s="218"/>
      <c r="I116" s="217"/>
      <c r="J116" s="217"/>
      <c r="K116" s="217"/>
      <c r="M116" s="220"/>
    </row>
    <row r="117" spans="3:13" x14ac:dyDescent="0.2">
      <c r="M117" s="220"/>
    </row>
    <row r="118" spans="3:13" x14ac:dyDescent="0.2">
      <c r="M118" s="220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153" activePane="bottomLeft" state="frozen"/>
      <selection activeCell="G42" sqref="G42"/>
      <selection pane="bottomLeft" activeCell="B171" sqref="B171"/>
    </sheetView>
  </sheetViews>
  <sheetFormatPr defaultColWidth="9.140625" defaultRowHeight="12.75" x14ac:dyDescent="0.2"/>
  <cols>
    <col min="1" max="1" width="2.42578125" style="32" customWidth="1"/>
    <col min="2" max="2" width="31.7109375" style="32" customWidth="1"/>
    <col min="3" max="3" width="9.7109375" style="32" customWidth="1"/>
    <col min="4" max="4" width="15.140625" style="54" bestFit="1" customWidth="1"/>
    <col min="5" max="5" width="10.42578125" style="303" customWidth="1"/>
    <col min="6" max="6" width="13.5703125" style="105" customWidth="1"/>
    <col min="7" max="7" width="3" style="152" customWidth="1"/>
    <col min="8" max="8" width="10.42578125" style="300" customWidth="1"/>
    <col min="9" max="9" width="14" style="105" bestFit="1" customWidth="1"/>
    <col min="10" max="10" width="2.85546875" style="105" customWidth="1"/>
    <col min="11" max="11" width="13.140625" style="105" customWidth="1"/>
    <col min="12" max="12" width="10.42578125" style="312" customWidth="1"/>
    <col min="13" max="13" width="2.85546875" style="107" customWidth="1"/>
    <col min="14" max="14" width="2.140625" style="235" customWidth="1"/>
    <col min="15" max="15" width="14.5703125" style="32" bestFit="1" customWidth="1"/>
    <col min="16" max="16" width="2.85546875" style="32" customWidth="1"/>
    <col min="17" max="16384" width="9.140625" style="32"/>
  </cols>
  <sheetData>
    <row r="1" spans="1:16" x14ac:dyDescent="0.2">
      <c r="B1" s="104" t="s">
        <v>0</v>
      </c>
      <c r="C1" s="109"/>
      <c r="D1" s="111"/>
      <c r="E1" s="229"/>
      <c r="F1" s="110"/>
      <c r="G1" s="230"/>
      <c r="H1" s="231"/>
      <c r="I1" s="110"/>
      <c r="J1" s="110"/>
      <c r="K1" s="110"/>
      <c r="L1" s="114"/>
      <c r="M1" s="114"/>
      <c r="N1" s="115"/>
      <c r="O1" s="109"/>
      <c r="P1" s="109"/>
    </row>
    <row r="2" spans="1:16" x14ac:dyDescent="0.2">
      <c r="B2" s="25" t="s">
        <v>257</v>
      </c>
      <c r="C2" s="232"/>
      <c r="D2" s="231"/>
      <c r="E2" s="110"/>
      <c r="F2" s="110"/>
      <c r="G2" s="231"/>
      <c r="H2" s="231"/>
      <c r="I2" s="110"/>
      <c r="J2" s="110"/>
      <c r="K2" s="110"/>
      <c r="L2" s="110"/>
      <c r="M2" s="114"/>
      <c r="N2" s="115"/>
      <c r="O2" s="109"/>
      <c r="P2" s="109"/>
    </row>
    <row r="3" spans="1:16" x14ac:dyDescent="0.2">
      <c r="B3" s="25" t="s">
        <v>369</v>
      </c>
      <c r="C3" s="232"/>
      <c r="D3" s="231"/>
      <c r="E3" s="110"/>
      <c r="F3" s="110"/>
      <c r="G3" s="231"/>
      <c r="H3" s="231"/>
      <c r="I3" s="110"/>
      <c r="J3" s="110"/>
      <c r="K3" s="110"/>
      <c r="L3" s="110"/>
      <c r="M3" s="114"/>
      <c r="N3" s="115"/>
      <c r="O3" s="109"/>
      <c r="P3" s="109"/>
    </row>
    <row r="4" spans="1:16" x14ac:dyDescent="0.2">
      <c r="B4" s="25" t="s">
        <v>333</v>
      </c>
      <c r="C4" s="232"/>
      <c r="D4" s="231"/>
      <c r="E4" s="110"/>
      <c r="F4" s="110"/>
      <c r="G4" s="231"/>
      <c r="H4" s="231"/>
      <c r="I4" s="110"/>
      <c r="J4" s="110"/>
      <c r="K4" s="110"/>
      <c r="L4" s="110"/>
      <c r="M4" s="114"/>
      <c r="N4" s="115"/>
      <c r="O4" s="109"/>
      <c r="P4" s="109"/>
    </row>
    <row r="5" spans="1:16" x14ac:dyDescent="0.2">
      <c r="B5" s="25" t="s">
        <v>370</v>
      </c>
      <c r="C5" s="232"/>
      <c r="D5" s="111"/>
      <c r="E5" s="229"/>
      <c r="F5" s="110"/>
      <c r="G5" s="230"/>
      <c r="H5" s="231"/>
      <c r="I5" s="110"/>
      <c r="J5" s="110"/>
      <c r="K5" s="110"/>
      <c r="L5" s="114"/>
      <c r="M5" s="114"/>
      <c r="N5" s="115"/>
      <c r="O5" s="116"/>
      <c r="P5" s="109"/>
    </row>
    <row r="6" spans="1:16" s="121" customFormat="1" x14ac:dyDescent="0.2">
      <c r="B6" s="233"/>
      <c r="C6" s="116"/>
      <c r="D6" s="152"/>
      <c r="E6" s="234"/>
      <c r="F6" s="187"/>
      <c r="G6" s="152"/>
      <c r="H6" s="157"/>
      <c r="I6" s="187"/>
      <c r="J6" s="187"/>
      <c r="K6" s="187"/>
      <c r="L6" s="235"/>
      <c r="M6" s="135"/>
      <c r="N6" s="135"/>
    </row>
    <row r="7" spans="1:16" x14ac:dyDescent="0.2">
      <c r="B7" s="122"/>
      <c r="C7" s="123"/>
      <c r="D7" s="236" t="s">
        <v>298</v>
      </c>
      <c r="E7" s="124" t="s">
        <v>299</v>
      </c>
      <c r="F7" s="125"/>
      <c r="G7" s="51"/>
      <c r="H7" s="126" t="s">
        <v>300</v>
      </c>
      <c r="I7" s="125"/>
      <c r="J7" s="127"/>
      <c r="K7" s="402" t="s">
        <v>301</v>
      </c>
      <c r="L7" s="403"/>
      <c r="M7" s="135"/>
      <c r="N7" s="115"/>
      <c r="O7" s="129" t="s">
        <v>302</v>
      </c>
    </row>
    <row r="8" spans="1:16" x14ac:dyDescent="0.2">
      <c r="B8" s="130" t="s">
        <v>67</v>
      </c>
      <c r="C8" s="237" t="s">
        <v>303</v>
      </c>
      <c r="D8" s="215" t="s">
        <v>304</v>
      </c>
      <c r="E8" s="238" t="s">
        <v>226</v>
      </c>
      <c r="F8" s="133" t="s">
        <v>305</v>
      </c>
      <c r="G8" s="215"/>
      <c r="H8" s="178" t="s">
        <v>226</v>
      </c>
      <c r="I8" s="133" t="s">
        <v>305</v>
      </c>
      <c r="J8" s="133"/>
      <c r="K8" s="133" t="s">
        <v>306</v>
      </c>
      <c r="L8" s="239" t="s">
        <v>307</v>
      </c>
      <c r="M8" s="135"/>
      <c r="N8" s="136"/>
      <c r="O8" s="137" t="s">
        <v>308</v>
      </c>
    </row>
    <row r="9" spans="1:16" x14ac:dyDescent="0.2">
      <c r="A9" s="121"/>
      <c r="B9" s="166"/>
      <c r="C9" s="167"/>
      <c r="D9" s="152"/>
      <c r="E9" s="234"/>
      <c r="F9" s="187"/>
      <c r="G9" s="191"/>
      <c r="H9" s="157"/>
      <c r="I9" s="164"/>
      <c r="J9" s="164"/>
      <c r="K9" s="187"/>
      <c r="L9" s="240"/>
      <c r="M9" s="135"/>
      <c r="O9" s="121"/>
    </row>
    <row r="10" spans="1:16" x14ac:dyDescent="0.2">
      <c r="B10" s="141" t="s">
        <v>203</v>
      </c>
      <c r="C10" s="142"/>
      <c r="D10" s="145"/>
      <c r="E10" s="241"/>
      <c r="F10" s="144"/>
      <c r="G10" s="242"/>
      <c r="H10" s="243"/>
      <c r="I10" s="244"/>
      <c r="J10" s="244"/>
      <c r="K10" s="144"/>
      <c r="L10" s="245"/>
      <c r="M10" s="135"/>
      <c r="N10" s="135"/>
    </row>
    <row r="11" spans="1:16" x14ac:dyDescent="0.2">
      <c r="B11" s="149"/>
      <c r="C11" s="121"/>
      <c r="D11" s="152"/>
      <c r="E11" s="234"/>
      <c r="F11" s="151"/>
      <c r="G11" s="191"/>
      <c r="H11" s="157"/>
      <c r="I11" s="184"/>
      <c r="J11" s="164"/>
      <c r="K11" s="151"/>
      <c r="L11" s="193"/>
      <c r="M11" s="135"/>
      <c r="N11" s="135"/>
      <c r="O11" s="154" t="s">
        <v>334</v>
      </c>
    </row>
    <row r="12" spans="1:16" x14ac:dyDescent="0.2">
      <c r="B12" s="166" t="s">
        <v>310</v>
      </c>
      <c r="C12" s="167" t="s">
        <v>311</v>
      </c>
      <c r="D12" s="152">
        <v>368.56669691470051</v>
      </c>
      <c r="E12" s="157">
        <v>595.08000000000004</v>
      </c>
      <c r="F12" s="151">
        <f>ROUND(D12*E12,2)</f>
        <v>219326.67</v>
      </c>
      <c r="H12" s="158">
        <v>701.68</v>
      </c>
      <c r="I12" s="184">
        <f>ROUND(D12*H12,2)</f>
        <v>258615.88</v>
      </c>
      <c r="J12" s="164"/>
      <c r="K12" s="151">
        <f>I12-F12</f>
        <v>39289.209999999992</v>
      </c>
      <c r="L12" s="193">
        <f>IFERROR(K12/F12, )</f>
        <v>0.17913557890611292</v>
      </c>
      <c r="M12" s="135"/>
      <c r="N12" s="135"/>
      <c r="O12" s="160">
        <v>9611898.688954046</v>
      </c>
    </row>
    <row r="13" spans="1:16" x14ac:dyDescent="0.2">
      <c r="B13" s="149" t="s">
        <v>321</v>
      </c>
      <c r="C13" s="121" t="s">
        <v>108</v>
      </c>
      <c r="D13" s="152">
        <v>96766.635999999999</v>
      </c>
      <c r="E13" s="157">
        <v>1.3</v>
      </c>
      <c r="F13" s="151">
        <f>ROUND(D13*E13,2)</f>
        <v>125796.63</v>
      </c>
      <c r="H13" s="158">
        <f>ROUND(E13*(1+$O$16),2)</f>
        <v>1.44</v>
      </c>
      <c r="I13" s="184">
        <f>ROUND(D13*H13,2)</f>
        <v>139343.96</v>
      </c>
      <c r="J13" s="164"/>
      <c r="K13" s="151">
        <f>I13-F13</f>
        <v>13547.329999999987</v>
      </c>
      <c r="L13" s="193">
        <f t="shared" ref="L13:L15" si="0">IFERROR(K13/F13, )</f>
        <v>0.10769231258420824</v>
      </c>
      <c r="M13" s="135"/>
      <c r="N13" s="135"/>
      <c r="O13" s="163" t="s">
        <v>313</v>
      </c>
    </row>
    <row r="14" spans="1:16" x14ac:dyDescent="0.2">
      <c r="B14" s="149" t="s">
        <v>314</v>
      </c>
      <c r="C14" s="121" t="s">
        <v>223</v>
      </c>
      <c r="D14" s="152">
        <f>D21</f>
        <v>19992939.502740219</v>
      </c>
      <c r="E14" s="161">
        <v>7.0499999999999998E-3</v>
      </c>
      <c r="F14" s="151">
        <f>E14*D14</f>
        <v>140950.22349431855</v>
      </c>
      <c r="H14" s="162">
        <f>ROUND(E14*(1+$O$16),5)</f>
        <v>7.7999999999999996E-3</v>
      </c>
      <c r="I14" s="184">
        <f>ROUND(D14*H14,2)</f>
        <v>155944.93</v>
      </c>
      <c r="J14" s="187"/>
      <c r="K14" s="151">
        <f>I14-F14</f>
        <v>14994.706505681446</v>
      </c>
      <c r="L14" s="193">
        <f t="shared" si="0"/>
        <v>0.10638299205170013</v>
      </c>
      <c r="M14" s="135"/>
      <c r="N14" s="135"/>
      <c r="O14" s="246">
        <f>I54-O12</f>
        <v>91.681045953184366</v>
      </c>
    </row>
    <row r="15" spans="1:16" x14ac:dyDescent="0.2">
      <c r="B15" s="149" t="s">
        <v>335</v>
      </c>
      <c r="C15" s="121"/>
      <c r="D15" s="152"/>
      <c r="E15" s="161"/>
      <c r="F15" s="247">
        <v>9677.49</v>
      </c>
      <c r="H15" s="161"/>
      <c r="I15" s="159">
        <f>F15</f>
        <v>9677.49</v>
      </c>
      <c r="J15" s="187"/>
      <c r="K15" s="151">
        <f>I15-F15</f>
        <v>0</v>
      </c>
      <c r="L15" s="193">
        <f t="shared" si="0"/>
        <v>0</v>
      </c>
      <c r="M15" s="135"/>
      <c r="N15" s="135"/>
      <c r="O15" s="171"/>
    </row>
    <row r="16" spans="1:16" x14ac:dyDescent="0.2">
      <c r="B16" s="149"/>
      <c r="C16" s="121"/>
      <c r="D16" s="152"/>
      <c r="E16" s="161"/>
      <c r="F16" s="159"/>
      <c r="H16" s="161"/>
      <c r="I16" s="247"/>
      <c r="J16" s="164"/>
      <c r="K16" s="151"/>
      <c r="L16" s="193"/>
      <c r="M16" s="135"/>
      <c r="N16" s="135"/>
      <c r="O16" s="172">
        <v>0.10610240784340896</v>
      </c>
    </row>
    <row r="17" spans="2:16" x14ac:dyDescent="0.2">
      <c r="B17" s="149" t="s">
        <v>322</v>
      </c>
      <c r="C17" s="121"/>
      <c r="D17" s="152"/>
      <c r="E17" s="161"/>
      <c r="F17" s="159"/>
      <c r="H17" s="161"/>
      <c r="I17" s="247"/>
      <c r="J17" s="164"/>
      <c r="K17" s="151"/>
      <c r="L17" s="193"/>
      <c r="M17" s="135"/>
      <c r="N17" s="135"/>
      <c r="O17" s="248"/>
    </row>
    <row r="18" spans="2:16" x14ac:dyDescent="0.2">
      <c r="B18" s="149" t="s">
        <v>204</v>
      </c>
      <c r="C18" s="121" t="s">
        <v>223</v>
      </c>
      <c r="D18" s="152">
        <v>8259556.7221568692</v>
      </c>
      <c r="E18" s="161">
        <v>0.1084</v>
      </c>
      <c r="F18" s="159">
        <f>ROUND(D18*E18,2)</f>
        <v>895335.95</v>
      </c>
      <c r="H18" s="162">
        <f>ROUND((O12-SUM(I12:I15,I19:I20, I28:I30,I34:I35))/SUM(D18,D33),5)</f>
        <v>0.12488</v>
      </c>
      <c r="I18" s="247">
        <f>ROUND(D18*H18,2)</f>
        <v>1031453.44</v>
      </c>
      <c r="J18" s="164"/>
      <c r="K18" s="151">
        <f>I18-F18</f>
        <v>136117.49</v>
      </c>
      <c r="L18" s="193">
        <f t="shared" ref="L18:L20" si="1">IFERROR(K18/F18, )</f>
        <v>0.15202951473131399</v>
      </c>
      <c r="M18" s="135"/>
      <c r="N18" s="135"/>
      <c r="O18" s="249"/>
      <c r="P18" s="250"/>
    </row>
    <row r="19" spans="2:16" x14ac:dyDescent="0.2">
      <c r="B19" s="149" t="s">
        <v>205</v>
      </c>
      <c r="C19" s="121" t="s">
        <v>223</v>
      </c>
      <c r="D19" s="152">
        <v>4347559.727</v>
      </c>
      <c r="E19" s="161">
        <v>5.3650000000000003E-2</v>
      </c>
      <c r="F19" s="159">
        <f>ROUND(D19*E19,2)</f>
        <v>233246.58</v>
      </c>
      <c r="H19" s="162">
        <f>ROUND(E19*(1+$O$16),5)</f>
        <v>5.9339999999999997E-2</v>
      </c>
      <c r="I19" s="247">
        <f>ROUND(D19*H19,2)</f>
        <v>257984.19</v>
      </c>
      <c r="J19" s="164"/>
      <c r="K19" s="151">
        <f>I19-F19</f>
        <v>24737.610000000015</v>
      </c>
      <c r="L19" s="193">
        <f t="shared" si="1"/>
        <v>0.10605776084691153</v>
      </c>
      <c r="M19" s="135"/>
      <c r="N19" s="135"/>
      <c r="O19" s="189"/>
      <c r="P19" s="189"/>
    </row>
    <row r="20" spans="2:16" x14ac:dyDescent="0.2">
      <c r="B20" s="149" t="s">
        <v>336</v>
      </c>
      <c r="C20" s="121" t="s">
        <v>223</v>
      </c>
      <c r="D20" s="152">
        <v>7385823.0535833519</v>
      </c>
      <c r="E20" s="161">
        <v>5.1319999999999998E-2</v>
      </c>
      <c r="F20" s="159">
        <f>ROUND(D20*E20,2)</f>
        <v>379040.44</v>
      </c>
      <c r="H20" s="162">
        <f>ROUND(E20*(1+$O$16),5)</f>
        <v>5.6770000000000001E-2</v>
      </c>
      <c r="I20" s="247">
        <f>ROUND(D20*H20,2)</f>
        <v>419293.17</v>
      </c>
      <c r="J20" s="164"/>
      <c r="K20" s="151">
        <f>I20-F20</f>
        <v>40252.729999999981</v>
      </c>
      <c r="L20" s="193">
        <f t="shared" si="1"/>
        <v>0.10619639951874259</v>
      </c>
      <c r="M20" s="135"/>
      <c r="N20" s="135"/>
      <c r="O20" s="189"/>
      <c r="P20" s="189"/>
    </row>
    <row r="21" spans="2:16" x14ac:dyDescent="0.2">
      <c r="B21" s="166" t="s">
        <v>315</v>
      </c>
      <c r="C21" s="167"/>
      <c r="D21" s="198">
        <f>SUM(D18:D20)</f>
        <v>19992939.502740219</v>
      </c>
      <c r="E21" s="187"/>
      <c r="F21" s="251">
        <f>SUM(F12:F20)</f>
        <v>2003373.9834943186</v>
      </c>
      <c r="H21" s="157"/>
      <c r="I21" s="251">
        <f>SUM(I12:I20)</f>
        <v>2272313.06</v>
      </c>
      <c r="J21" s="164"/>
      <c r="K21" s="203">
        <f>SUM(K12:K20)</f>
        <v>268939.07650568138</v>
      </c>
      <c r="L21" s="252">
        <f>IFERROR(K21/F21, )</f>
        <v>0.13424307129944521</v>
      </c>
      <c r="M21" s="135"/>
      <c r="N21" s="135"/>
      <c r="O21" s="204"/>
      <c r="P21" s="53"/>
    </row>
    <row r="22" spans="2:16" ht="12.75" customHeight="1" x14ac:dyDescent="0.2">
      <c r="B22" s="166"/>
      <c r="C22" s="167"/>
      <c r="D22" s="152"/>
      <c r="E22" s="187"/>
      <c r="F22" s="247"/>
      <c r="H22" s="157"/>
      <c r="I22" s="247"/>
      <c r="J22" s="164"/>
      <c r="K22" s="151"/>
      <c r="L22" s="193"/>
      <c r="M22" s="135"/>
      <c r="N22" s="135"/>
      <c r="O22" s="253"/>
      <c r="P22" s="254"/>
    </row>
    <row r="23" spans="2:16" x14ac:dyDescent="0.2">
      <c r="B23" s="149" t="s">
        <v>316</v>
      </c>
      <c r="C23" s="121"/>
      <c r="D23" s="152"/>
      <c r="E23" s="161"/>
      <c r="F23" s="251">
        <f>F21</f>
        <v>2003373.9834943186</v>
      </c>
      <c r="H23" s="157"/>
      <c r="I23" s="251">
        <f>I21</f>
        <v>2272313.06</v>
      </c>
      <c r="J23" s="164"/>
      <c r="K23" s="203">
        <f>K21</f>
        <v>268939.07650568138</v>
      </c>
      <c r="L23" s="252">
        <f>IFERROR(K23/F23, )</f>
        <v>0.13424307129944521</v>
      </c>
      <c r="M23" s="135"/>
      <c r="N23" s="135"/>
    </row>
    <row r="24" spans="2:16" x14ac:dyDescent="0.2">
      <c r="B24" s="175"/>
      <c r="C24" s="255"/>
      <c r="D24" s="211"/>
      <c r="E24" s="256"/>
      <c r="F24" s="181"/>
      <c r="G24" s="211"/>
      <c r="H24" s="257"/>
      <c r="I24" s="181"/>
      <c r="J24" s="258"/>
      <c r="K24" s="182"/>
      <c r="L24" s="183"/>
      <c r="M24" s="135"/>
      <c r="N24" s="135"/>
    </row>
    <row r="25" spans="2:16" x14ac:dyDescent="0.2">
      <c r="B25" s="26"/>
      <c r="C25" s="26"/>
      <c r="D25" s="152"/>
      <c r="E25" s="161"/>
      <c r="F25" s="159"/>
      <c r="H25" s="157"/>
      <c r="I25" s="247"/>
      <c r="J25" s="259"/>
      <c r="K25" s="159"/>
      <c r="L25" s="209"/>
      <c r="M25" s="135"/>
      <c r="N25" s="135"/>
    </row>
    <row r="26" spans="2:16" x14ac:dyDescent="0.2">
      <c r="B26" s="141" t="s">
        <v>337</v>
      </c>
      <c r="C26" s="142"/>
      <c r="D26" s="145"/>
      <c r="E26" s="241"/>
      <c r="F26" s="260"/>
      <c r="G26" s="242"/>
      <c r="H26" s="243"/>
      <c r="I26" s="261"/>
      <c r="J26" s="244"/>
      <c r="K26" s="144"/>
      <c r="L26" s="245"/>
      <c r="M26" s="135"/>
      <c r="N26" s="135"/>
      <c r="O26" s="262"/>
      <c r="P26" s="156"/>
    </row>
    <row r="27" spans="2:16" x14ac:dyDescent="0.2">
      <c r="B27" s="149"/>
      <c r="C27" s="121"/>
      <c r="D27" s="152"/>
      <c r="E27" s="234"/>
      <c r="F27" s="159"/>
      <c r="G27" s="191"/>
      <c r="H27" s="157"/>
      <c r="I27" s="247"/>
      <c r="J27" s="164"/>
      <c r="K27" s="151"/>
      <c r="L27" s="193"/>
      <c r="M27" s="135"/>
      <c r="N27" s="135"/>
      <c r="O27" s="26"/>
      <c r="P27" s="26"/>
    </row>
    <row r="28" spans="2:16" x14ac:dyDescent="0.2">
      <c r="B28" s="166" t="s">
        <v>310</v>
      </c>
      <c r="C28" s="167" t="s">
        <v>311</v>
      </c>
      <c r="D28" s="152">
        <v>884.03333362675562</v>
      </c>
      <c r="E28" s="157">
        <v>903.09</v>
      </c>
      <c r="F28" s="159">
        <f>ROUND(D28*E28,2)</f>
        <v>798361.66</v>
      </c>
      <c r="H28" s="158">
        <f>E28</f>
        <v>903.09</v>
      </c>
      <c r="I28" s="247">
        <f>ROUND(D28*H28,2)</f>
        <v>798361.66</v>
      </c>
      <c r="J28" s="164"/>
      <c r="K28" s="151">
        <f>I28-F28</f>
        <v>0</v>
      </c>
      <c r="L28" s="193">
        <f t="shared" ref="L28:L30" si="2">IFERROR(K28/F28, )</f>
        <v>0</v>
      </c>
      <c r="M28" s="135"/>
      <c r="N28" s="135"/>
      <c r="O28" s="156"/>
      <c r="P28" s="156"/>
    </row>
    <row r="29" spans="2:16" x14ac:dyDescent="0.2">
      <c r="B29" s="149" t="s">
        <v>321</v>
      </c>
      <c r="C29" s="121" t="s">
        <v>108</v>
      </c>
      <c r="D29" s="152">
        <v>651309.33499999996</v>
      </c>
      <c r="E29" s="157">
        <v>1.3</v>
      </c>
      <c r="F29" s="159">
        <f>ROUND(D29*E29,2)</f>
        <v>846702.14</v>
      </c>
      <c r="H29" s="158">
        <f>$H$13</f>
        <v>1.44</v>
      </c>
      <c r="I29" s="247">
        <f>ROUND(D29*H29,2)</f>
        <v>937885.44</v>
      </c>
      <c r="J29" s="164"/>
      <c r="K29" s="151">
        <f>I29-F29</f>
        <v>91183.29999999993</v>
      </c>
      <c r="L29" s="193">
        <f t="shared" si="2"/>
        <v>0.10769229897068634</v>
      </c>
      <c r="M29" s="135"/>
      <c r="N29" s="135"/>
      <c r="O29" s="26"/>
      <c r="P29" s="26"/>
    </row>
    <row r="30" spans="2:16" x14ac:dyDescent="0.2">
      <c r="B30" s="149" t="s">
        <v>335</v>
      </c>
      <c r="C30" s="121"/>
      <c r="D30" s="152"/>
      <c r="E30" s="157"/>
      <c r="F30" s="247">
        <v>-10601.630000000003</v>
      </c>
      <c r="H30" s="158"/>
      <c r="I30" s="247">
        <f>F30</f>
        <v>-10601.630000000003</v>
      </c>
      <c r="J30" s="164"/>
      <c r="K30" s="151">
        <f>I30-F30</f>
        <v>0</v>
      </c>
      <c r="L30" s="193">
        <f t="shared" si="2"/>
        <v>0</v>
      </c>
      <c r="M30" s="135"/>
      <c r="N30" s="135"/>
      <c r="O30" s="26"/>
      <c r="P30" s="26"/>
    </row>
    <row r="31" spans="2:16" x14ac:dyDescent="0.2">
      <c r="B31" s="149"/>
      <c r="C31" s="121"/>
      <c r="D31" s="152"/>
      <c r="E31" s="161"/>
      <c r="F31" s="26"/>
      <c r="H31" s="162"/>
      <c r="I31" s="26"/>
      <c r="J31" s="187"/>
      <c r="K31" s="151"/>
      <c r="L31" s="193"/>
      <c r="M31" s="135"/>
      <c r="N31" s="135"/>
      <c r="O31" s="26"/>
      <c r="P31" s="26"/>
    </row>
    <row r="32" spans="2:16" x14ac:dyDescent="0.2">
      <c r="B32" s="149" t="s">
        <v>322</v>
      </c>
      <c r="C32" s="121"/>
      <c r="D32" s="152"/>
      <c r="E32" s="161"/>
      <c r="F32" s="159"/>
      <c r="H32" s="162"/>
      <c r="I32" s="247"/>
      <c r="J32" s="164"/>
      <c r="K32" s="151"/>
      <c r="L32" s="193"/>
      <c r="M32" s="135"/>
      <c r="N32" s="135"/>
      <c r="O32" s="26"/>
      <c r="P32" s="26"/>
    </row>
    <row r="33" spans="2:16" x14ac:dyDescent="0.2">
      <c r="B33" s="149" t="s">
        <v>204</v>
      </c>
      <c r="C33" s="121" t="s">
        <v>223</v>
      </c>
      <c r="D33" s="152">
        <v>24354615.889999997</v>
      </c>
      <c r="E33" s="161">
        <v>0.1084</v>
      </c>
      <c r="F33" s="159">
        <f>ROUND(D33*E33,2)</f>
        <v>2640040.36</v>
      </c>
      <c r="H33" s="162">
        <f>H18</f>
        <v>0.12488</v>
      </c>
      <c r="I33" s="247">
        <f>ROUND(D33*H33,2)</f>
        <v>3041404.43</v>
      </c>
      <c r="J33" s="164"/>
      <c r="K33" s="151">
        <f>I33-F33</f>
        <v>401364.0700000003</v>
      </c>
      <c r="L33" s="193">
        <f t="shared" ref="L33:L35" si="3">IFERROR(K33/F33, )</f>
        <v>0.1520295204880884</v>
      </c>
      <c r="M33" s="135"/>
      <c r="N33" s="135"/>
      <c r="O33" s="26"/>
      <c r="P33" s="26"/>
    </row>
    <row r="34" spans="2:16" x14ac:dyDescent="0.2">
      <c r="B34" s="149" t="s">
        <v>205</v>
      </c>
      <c r="C34" s="121" t="s">
        <v>223</v>
      </c>
      <c r="D34" s="152">
        <v>17329118.52</v>
      </c>
      <c r="E34" s="161">
        <v>5.3650000000000003E-2</v>
      </c>
      <c r="F34" s="159">
        <f>ROUND(D34*E34,2)</f>
        <v>929707.21</v>
      </c>
      <c r="H34" s="162">
        <f>H19</f>
        <v>5.9339999999999997E-2</v>
      </c>
      <c r="I34" s="247">
        <f>ROUND(D34*H34,2)</f>
        <v>1028309.89</v>
      </c>
      <c r="J34" s="164"/>
      <c r="K34" s="151">
        <f>I34-F34</f>
        <v>98602.680000000051</v>
      </c>
      <c r="L34" s="193">
        <f t="shared" si="3"/>
        <v>0.10605777705004574</v>
      </c>
      <c r="M34" s="135"/>
      <c r="N34" s="135"/>
      <c r="O34" s="26"/>
      <c r="P34" s="26"/>
    </row>
    <row r="35" spans="2:16" x14ac:dyDescent="0.2">
      <c r="B35" s="149" t="s">
        <v>206</v>
      </c>
      <c r="C35" s="121" t="s">
        <v>223</v>
      </c>
      <c r="D35" s="152">
        <v>27203056.60995879</v>
      </c>
      <c r="E35" s="161">
        <v>5.1319999999999998E-2</v>
      </c>
      <c r="F35" s="181">
        <f>ROUND(D35*E35,2)</f>
        <v>1396060.87</v>
      </c>
      <c r="H35" s="162">
        <f>H20</f>
        <v>5.6770000000000001E-2</v>
      </c>
      <c r="I35" s="247">
        <f>ROUND(D35*H35,2)</f>
        <v>1544317.52</v>
      </c>
      <c r="J35" s="164"/>
      <c r="K35" s="151">
        <f>I35-F35</f>
        <v>148256.64999999991</v>
      </c>
      <c r="L35" s="193">
        <f t="shared" si="3"/>
        <v>0.10619640818383506</v>
      </c>
      <c r="M35" s="135"/>
      <c r="N35" s="135"/>
      <c r="O35" s="26"/>
      <c r="P35" s="26"/>
    </row>
    <row r="36" spans="2:16" x14ac:dyDescent="0.2">
      <c r="B36" s="166" t="s">
        <v>315</v>
      </c>
      <c r="C36" s="167"/>
      <c r="D36" s="198">
        <f>SUM(D33:D35)</f>
        <v>68886791.019958794</v>
      </c>
      <c r="E36" s="187"/>
      <c r="F36" s="251">
        <f>SUM(F28:F35)</f>
        <v>6600270.6100000003</v>
      </c>
      <c r="H36" s="157"/>
      <c r="I36" s="251">
        <f>SUM(I28:I35)</f>
        <v>7339677.3100000005</v>
      </c>
      <c r="J36" s="164"/>
      <c r="K36" s="203">
        <f>SUM(K28:K35)</f>
        <v>739406.70000000019</v>
      </c>
      <c r="L36" s="252">
        <f>IFERROR(K36/F36, )</f>
        <v>0.11202672491635918</v>
      </c>
      <c r="M36" s="135"/>
      <c r="N36" s="135"/>
      <c r="O36" s="26"/>
      <c r="P36" s="26"/>
    </row>
    <row r="37" spans="2:16" x14ac:dyDescent="0.2">
      <c r="B37" s="166"/>
      <c r="C37" s="167"/>
      <c r="D37" s="152"/>
      <c r="E37" s="187"/>
      <c r="F37" s="247"/>
      <c r="H37" s="157"/>
      <c r="I37" s="247"/>
      <c r="J37" s="164"/>
      <c r="K37" s="151"/>
      <c r="L37" s="193"/>
      <c r="M37" s="135"/>
      <c r="N37" s="135"/>
      <c r="O37" s="156"/>
      <c r="P37" s="26"/>
    </row>
    <row r="38" spans="2:16" x14ac:dyDescent="0.2">
      <c r="B38" s="166" t="s">
        <v>316</v>
      </c>
      <c r="C38" s="121"/>
      <c r="D38" s="152"/>
      <c r="E38" s="157"/>
      <c r="F38" s="251">
        <f>F36</f>
        <v>6600270.6100000003</v>
      </c>
      <c r="G38" s="26"/>
      <c r="H38" s="157"/>
      <c r="I38" s="251">
        <f>I36</f>
        <v>7339677.3100000005</v>
      </c>
      <c r="J38" s="187"/>
      <c r="K38" s="203">
        <f>K36</f>
        <v>739406.70000000019</v>
      </c>
      <c r="L38" s="252">
        <f>IFERROR(K38/F38, )</f>
        <v>0.11202672491635918</v>
      </c>
      <c r="M38" s="135"/>
      <c r="N38" s="135"/>
      <c r="O38" s="263"/>
      <c r="P38" s="26"/>
    </row>
    <row r="39" spans="2:16" x14ac:dyDescent="0.2">
      <c r="B39" s="175"/>
      <c r="C39" s="255"/>
      <c r="D39" s="211"/>
      <c r="E39" s="256"/>
      <c r="F39" s="181"/>
      <c r="G39" s="211"/>
      <c r="H39" s="257"/>
      <c r="I39" s="264"/>
      <c r="J39" s="258"/>
      <c r="K39" s="182"/>
      <c r="L39" s="183"/>
      <c r="M39" s="135"/>
      <c r="N39" s="135"/>
      <c r="O39" s="26"/>
      <c r="P39" s="26"/>
    </row>
    <row r="40" spans="2:16" x14ac:dyDescent="0.2">
      <c r="B40" s="121"/>
      <c r="C40" s="121"/>
      <c r="D40" s="152"/>
      <c r="E40" s="234"/>
      <c r="F40" s="159"/>
      <c r="H40" s="157"/>
      <c r="I40" s="247"/>
      <c r="J40" s="164"/>
      <c r="K40" s="151"/>
      <c r="L40" s="185"/>
      <c r="M40" s="135"/>
      <c r="N40" s="135"/>
      <c r="O40" s="26"/>
      <c r="P40" s="26"/>
    </row>
    <row r="41" spans="2:16" x14ac:dyDescent="0.2">
      <c r="B41" s="186" t="s">
        <v>338</v>
      </c>
      <c r="C41" s="142"/>
      <c r="D41" s="145"/>
      <c r="E41" s="241"/>
      <c r="F41" s="260"/>
      <c r="G41" s="242"/>
      <c r="H41" s="243"/>
      <c r="I41" s="261"/>
      <c r="J41" s="244"/>
      <c r="K41" s="144"/>
      <c r="L41" s="245"/>
      <c r="M41" s="135"/>
      <c r="N41" s="135"/>
      <c r="O41" s="26"/>
      <c r="P41" s="26"/>
    </row>
    <row r="42" spans="2:16" x14ac:dyDescent="0.2">
      <c r="B42" s="149"/>
      <c r="C42" s="121"/>
      <c r="D42" s="152"/>
      <c r="E42" s="161"/>
      <c r="F42" s="159"/>
      <c r="G42" s="191"/>
      <c r="H42" s="157"/>
      <c r="I42" s="247"/>
      <c r="J42" s="259"/>
      <c r="K42" s="159"/>
      <c r="L42" s="265"/>
      <c r="M42" s="266"/>
      <c r="N42" s="135"/>
      <c r="O42" s="26"/>
      <c r="P42" s="26"/>
    </row>
    <row r="43" spans="2:16" x14ac:dyDescent="0.2">
      <c r="B43" s="166" t="s">
        <v>310</v>
      </c>
      <c r="C43" s="167" t="s">
        <v>311</v>
      </c>
      <c r="D43" s="152">
        <f>D28+D12</f>
        <v>1252.6000305414561</v>
      </c>
      <c r="E43" s="157"/>
      <c r="F43" s="159">
        <f>F12+F28</f>
        <v>1017688.3300000001</v>
      </c>
      <c r="H43" s="157"/>
      <c r="I43" s="159">
        <f>I12+I28</f>
        <v>1056977.54</v>
      </c>
      <c r="J43" s="259"/>
      <c r="K43" s="159">
        <f>I43-F43</f>
        <v>39289.209999999963</v>
      </c>
      <c r="L43" s="265">
        <f t="shared" ref="L43:L46" si="4">IFERROR(K43/F43, )</f>
        <v>3.860632852103154E-2</v>
      </c>
      <c r="M43" s="266"/>
      <c r="N43" s="135"/>
      <c r="O43" s="26"/>
      <c r="P43" s="26"/>
    </row>
    <row r="44" spans="2:16" x14ac:dyDescent="0.2">
      <c r="B44" s="149" t="s">
        <v>321</v>
      </c>
      <c r="C44" s="121" t="s">
        <v>108</v>
      </c>
      <c r="D44" s="152">
        <f>D29+D13</f>
        <v>748075.9709999999</v>
      </c>
      <c r="E44" s="157"/>
      <c r="F44" s="159">
        <f>F13+F29</f>
        <v>972498.77</v>
      </c>
      <c r="H44" s="157"/>
      <c r="I44" s="159">
        <f>I13+I29</f>
        <v>1077229.3999999999</v>
      </c>
      <c r="J44" s="259"/>
      <c r="K44" s="159">
        <f>I44-F44</f>
        <v>104730.62999999989</v>
      </c>
      <c r="L44" s="265">
        <f t="shared" si="4"/>
        <v>0.10769230073165016</v>
      </c>
      <c r="M44" s="266"/>
      <c r="N44" s="135"/>
      <c r="O44" s="26"/>
      <c r="P44" s="26"/>
    </row>
    <row r="45" spans="2:16" x14ac:dyDescent="0.2">
      <c r="B45" s="149" t="s">
        <v>314</v>
      </c>
      <c r="C45" s="121" t="s">
        <v>223</v>
      </c>
      <c r="D45" s="152">
        <f>D30+D14</f>
        <v>19992939.502740219</v>
      </c>
      <c r="E45" s="157"/>
      <c r="F45" s="159">
        <f>F14</f>
        <v>140950.22349431855</v>
      </c>
      <c r="H45" s="157"/>
      <c r="I45" s="159">
        <f>I14</f>
        <v>155944.93</v>
      </c>
      <c r="J45" s="259"/>
      <c r="K45" s="159">
        <f>I45-F45</f>
        <v>14994.706505681446</v>
      </c>
      <c r="L45" s="265">
        <f t="shared" si="4"/>
        <v>0.10638299205170013</v>
      </c>
      <c r="M45" s="266"/>
      <c r="N45" s="135"/>
      <c r="O45" s="26"/>
      <c r="P45" s="26"/>
    </row>
    <row r="46" spans="2:16" x14ac:dyDescent="0.2">
      <c r="B46" s="149" t="s">
        <v>335</v>
      </c>
      <c r="C46" s="121"/>
      <c r="D46" s="152"/>
      <c r="E46" s="157"/>
      <c r="F46" s="247">
        <f>F15+F30</f>
        <v>-924.14000000000306</v>
      </c>
      <c r="H46" s="157"/>
      <c r="I46" s="247">
        <f>I15+I30</f>
        <v>-924.14000000000306</v>
      </c>
      <c r="J46" s="259"/>
      <c r="K46" s="159">
        <f>I46-F46</f>
        <v>0</v>
      </c>
      <c r="L46" s="265">
        <f t="shared" si="4"/>
        <v>0</v>
      </c>
      <c r="M46" s="266"/>
      <c r="N46" s="135"/>
      <c r="O46" s="26"/>
      <c r="P46" s="26"/>
    </row>
    <row r="47" spans="2:16" x14ac:dyDescent="0.2">
      <c r="B47" s="149"/>
      <c r="C47" s="121"/>
      <c r="D47" s="152"/>
      <c r="E47" s="161"/>
      <c r="F47" s="26"/>
      <c r="H47" s="161"/>
      <c r="I47" s="26"/>
      <c r="J47" s="157"/>
      <c r="K47" s="159"/>
      <c r="L47" s="265"/>
      <c r="M47" s="266"/>
      <c r="N47" s="135"/>
      <c r="O47" s="26"/>
      <c r="P47" s="26"/>
    </row>
    <row r="48" spans="2:16" x14ac:dyDescent="0.2">
      <c r="B48" s="149" t="s">
        <v>322</v>
      </c>
      <c r="C48" s="121"/>
      <c r="D48" s="152"/>
      <c r="E48" s="161"/>
      <c r="F48" s="159"/>
      <c r="H48" s="161"/>
      <c r="I48" s="159"/>
      <c r="J48" s="259"/>
      <c r="K48" s="159"/>
      <c r="L48" s="265"/>
      <c r="M48" s="266"/>
      <c r="N48" s="135"/>
      <c r="O48" s="26"/>
      <c r="P48" s="26"/>
    </row>
    <row r="49" spans="1:16" x14ac:dyDescent="0.2">
      <c r="B49" s="149" t="s">
        <v>204</v>
      </c>
      <c r="C49" s="121" t="s">
        <v>223</v>
      </c>
      <c r="D49" s="152">
        <f>D33+D18</f>
        <v>32614172.612156868</v>
      </c>
      <c r="E49" s="161"/>
      <c r="F49" s="159">
        <f>F18+F33</f>
        <v>3535376.3099999996</v>
      </c>
      <c r="H49" s="189"/>
      <c r="I49" s="159">
        <f>I18+I33</f>
        <v>4072857.87</v>
      </c>
      <c r="J49" s="259"/>
      <c r="K49" s="159">
        <f>I49-F49</f>
        <v>537481.56000000052</v>
      </c>
      <c r="L49" s="265">
        <f t="shared" ref="L49:L51" si="5">IFERROR(K49/F49, )</f>
        <v>0.15202951903018228</v>
      </c>
      <c r="M49" s="266"/>
      <c r="N49" s="135"/>
      <c r="O49" s="26"/>
      <c r="P49" s="26"/>
    </row>
    <row r="50" spans="1:16" x14ac:dyDescent="0.2">
      <c r="B50" s="149" t="s">
        <v>205</v>
      </c>
      <c r="C50" s="121" t="s">
        <v>223</v>
      </c>
      <c r="D50" s="152">
        <f>D34+D19</f>
        <v>21676678.247000001</v>
      </c>
      <c r="E50" s="161"/>
      <c r="F50" s="159">
        <f>F19+F34</f>
        <v>1162953.79</v>
      </c>
      <c r="H50" s="189"/>
      <c r="I50" s="159">
        <f>I19+I34</f>
        <v>1286294.08</v>
      </c>
      <c r="J50" s="259"/>
      <c r="K50" s="159">
        <f>I50-F50</f>
        <v>123340.29000000004</v>
      </c>
      <c r="L50" s="265">
        <f t="shared" si="5"/>
        <v>0.10605777380028146</v>
      </c>
      <c r="M50" s="266"/>
      <c r="N50" s="135"/>
      <c r="O50" s="26"/>
      <c r="P50" s="26"/>
    </row>
    <row r="51" spans="1:16" x14ac:dyDescent="0.2">
      <c r="B51" s="149" t="s">
        <v>336</v>
      </c>
      <c r="C51" s="121" t="s">
        <v>223</v>
      </c>
      <c r="D51" s="152">
        <f>D35+D20</f>
        <v>34588879.663542144</v>
      </c>
      <c r="E51" s="161"/>
      <c r="F51" s="181">
        <f>F20+F35</f>
        <v>1775101.31</v>
      </c>
      <c r="H51" s="161"/>
      <c r="I51" s="181">
        <f>I20+I35</f>
        <v>1963610.69</v>
      </c>
      <c r="J51" s="259"/>
      <c r="K51" s="159">
        <f>I51-F51</f>
        <v>188509.37999999989</v>
      </c>
      <c r="L51" s="265">
        <f t="shared" si="5"/>
        <v>0.10619640633356295</v>
      </c>
      <c r="M51" s="266"/>
      <c r="N51" s="135"/>
      <c r="O51" s="26"/>
      <c r="P51" s="26"/>
    </row>
    <row r="52" spans="1:16" x14ac:dyDescent="0.2">
      <c r="B52" s="166" t="s">
        <v>315</v>
      </c>
      <c r="C52" s="167"/>
      <c r="D52" s="198">
        <f>SUM(D49:D51)</f>
        <v>88879730.522699013</v>
      </c>
      <c r="E52" s="157"/>
      <c r="F52" s="251">
        <f>SUM(F43:F51)</f>
        <v>8603644.5934943184</v>
      </c>
      <c r="H52" s="157"/>
      <c r="I52" s="251">
        <f>SUM(I43:I51)</f>
        <v>9611990.3699999992</v>
      </c>
      <c r="J52" s="259"/>
      <c r="K52" s="251">
        <f>SUM(K43:K51)</f>
        <v>1008345.7765056817</v>
      </c>
      <c r="L52" s="252">
        <f>IFERROR(K52/F52, )</f>
        <v>0.11719984078237571</v>
      </c>
      <c r="M52" s="266"/>
      <c r="N52" s="135"/>
      <c r="O52" s="26"/>
      <c r="P52" s="26"/>
    </row>
    <row r="53" spans="1:16" x14ac:dyDescent="0.2">
      <c r="B53" s="166"/>
      <c r="C53" s="167"/>
      <c r="D53" s="152"/>
      <c r="E53" s="157"/>
      <c r="F53" s="247"/>
      <c r="H53" s="157"/>
      <c r="I53" s="247"/>
      <c r="J53" s="259"/>
      <c r="K53" s="159"/>
      <c r="L53" s="265"/>
      <c r="M53" s="266"/>
      <c r="N53" s="135"/>
      <c r="O53" s="26"/>
      <c r="P53" s="26"/>
    </row>
    <row r="54" spans="1:16" x14ac:dyDescent="0.2">
      <c r="B54" s="149" t="s">
        <v>316</v>
      </c>
      <c r="C54" s="121"/>
      <c r="D54" s="152"/>
      <c r="E54" s="157"/>
      <c r="F54" s="251">
        <f>F52</f>
        <v>8603644.5934943184</v>
      </c>
      <c r="H54" s="157"/>
      <c r="I54" s="251">
        <f>I52</f>
        <v>9611990.3699999992</v>
      </c>
      <c r="J54" s="259"/>
      <c r="K54" s="251">
        <f>K52</f>
        <v>1008345.7765056817</v>
      </c>
      <c r="L54" s="252">
        <f>IFERROR(K54/F54, )</f>
        <v>0.11719984078237571</v>
      </c>
      <c r="M54" s="266"/>
      <c r="N54" s="135"/>
    </row>
    <row r="55" spans="1:16" x14ac:dyDescent="0.2">
      <c r="B55" s="175"/>
      <c r="C55" s="255"/>
      <c r="D55" s="211"/>
      <c r="E55" s="267"/>
      <c r="F55" s="181"/>
      <c r="G55" s="211"/>
      <c r="H55" s="257"/>
      <c r="I55" s="264"/>
      <c r="J55" s="268"/>
      <c r="K55" s="181"/>
      <c r="L55" s="207"/>
      <c r="M55" s="266"/>
      <c r="N55" s="135"/>
    </row>
    <row r="56" spans="1:16" x14ac:dyDescent="0.2">
      <c r="A56" s="121"/>
      <c r="B56" s="121"/>
      <c r="C56" s="121"/>
      <c r="D56" s="152"/>
      <c r="E56" s="234"/>
      <c r="F56" s="159"/>
      <c r="H56" s="157"/>
      <c r="I56" s="247"/>
      <c r="J56" s="164"/>
      <c r="K56" s="151"/>
      <c r="L56" s="185"/>
      <c r="M56" s="135"/>
      <c r="N56" s="135"/>
      <c r="O56" s="121"/>
    </row>
    <row r="57" spans="1:16" x14ac:dyDescent="0.2">
      <c r="B57" s="141" t="s">
        <v>207</v>
      </c>
      <c r="C57" s="142"/>
      <c r="D57" s="145"/>
      <c r="E57" s="241"/>
      <c r="F57" s="260"/>
      <c r="G57" s="145"/>
      <c r="H57" s="243"/>
      <c r="I57" s="269"/>
      <c r="J57" s="244"/>
      <c r="K57" s="144"/>
      <c r="L57" s="147"/>
      <c r="M57" s="135"/>
      <c r="N57" s="135"/>
      <c r="O57" s="121"/>
    </row>
    <row r="58" spans="1:16" x14ac:dyDescent="0.2">
      <c r="B58" s="149"/>
      <c r="C58" s="121"/>
      <c r="D58" s="152"/>
      <c r="E58" s="234"/>
      <c r="F58" s="159"/>
      <c r="G58" s="191"/>
      <c r="H58" s="157"/>
      <c r="I58" s="247"/>
      <c r="J58" s="164"/>
      <c r="K58" s="151"/>
      <c r="L58" s="193"/>
      <c r="M58" s="135"/>
      <c r="N58" s="135"/>
      <c r="O58" s="154" t="s">
        <v>339</v>
      </c>
    </row>
    <row r="59" spans="1:16" x14ac:dyDescent="0.2">
      <c r="B59" s="166" t="s">
        <v>310</v>
      </c>
      <c r="C59" s="167" t="s">
        <v>311</v>
      </c>
      <c r="D59" s="152">
        <v>1364.2999596828383</v>
      </c>
      <c r="E59" s="157">
        <v>148.82</v>
      </c>
      <c r="F59" s="159">
        <f>ROUND(D59*E59,2)</f>
        <v>203035.12</v>
      </c>
      <c r="H59" s="158">
        <f>E59</f>
        <v>148.82</v>
      </c>
      <c r="I59" s="247">
        <f>ROUND(D59*H59,2)</f>
        <v>203035.12</v>
      </c>
      <c r="J59" s="164"/>
      <c r="K59" s="151">
        <f>I59-F59</f>
        <v>0</v>
      </c>
      <c r="L59" s="193">
        <f t="shared" ref="L59:L62" si="6">IFERROR(K59/F59, )</f>
        <v>0</v>
      </c>
      <c r="M59" s="135"/>
      <c r="N59" s="135"/>
      <c r="O59" s="160">
        <v>1560028.5146650348</v>
      </c>
    </row>
    <row r="60" spans="1:16" x14ac:dyDescent="0.2">
      <c r="B60" s="149" t="s">
        <v>321</v>
      </c>
      <c r="C60" s="121" t="s">
        <v>108</v>
      </c>
      <c r="D60" s="152">
        <v>39087.972999999998</v>
      </c>
      <c r="E60" s="157">
        <v>1.35</v>
      </c>
      <c r="F60" s="159">
        <f>ROUND(D60*E60,2)</f>
        <v>52768.76</v>
      </c>
      <c r="H60" s="158">
        <f>E60</f>
        <v>1.35</v>
      </c>
      <c r="I60" s="247">
        <f>ROUND(D60*H60,2)</f>
        <v>52768.76</v>
      </c>
      <c r="J60" s="164"/>
      <c r="K60" s="151">
        <f>I60-F60</f>
        <v>0</v>
      </c>
      <c r="L60" s="193">
        <f t="shared" si="6"/>
        <v>0</v>
      </c>
      <c r="M60" s="135"/>
      <c r="N60" s="135"/>
      <c r="O60" s="163" t="s">
        <v>313</v>
      </c>
    </row>
    <row r="61" spans="1:16" x14ac:dyDescent="0.2">
      <c r="B61" s="149" t="s">
        <v>314</v>
      </c>
      <c r="C61" s="121" t="s">
        <v>223</v>
      </c>
      <c r="D61" s="152">
        <f>D67</f>
        <v>5773170.4876905456</v>
      </c>
      <c r="E61" s="161">
        <v>1.222E-2</v>
      </c>
      <c r="F61" s="159">
        <f>ROUND(D61*E61,2)</f>
        <v>70548.14</v>
      </c>
      <c r="H61" s="162">
        <f>E61</f>
        <v>1.222E-2</v>
      </c>
      <c r="I61" s="247">
        <f>ROUND(D67*H61,2)</f>
        <v>70548.14</v>
      </c>
      <c r="J61" s="164"/>
      <c r="K61" s="151">
        <f>I61-F61</f>
        <v>0</v>
      </c>
      <c r="L61" s="193">
        <f t="shared" si="6"/>
        <v>0</v>
      </c>
      <c r="M61" s="135"/>
      <c r="N61" s="135"/>
      <c r="O61" s="246">
        <f>I98-O59</f>
        <v>2.5053349651861936</v>
      </c>
    </row>
    <row r="62" spans="1:16" x14ac:dyDescent="0.2">
      <c r="B62" s="149" t="s">
        <v>335</v>
      </c>
      <c r="C62" s="121"/>
      <c r="D62" s="152"/>
      <c r="E62" s="161"/>
      <c r="F62" s="247">
        <v>7612.77</v>
      </c>
      <c r="H62" s="162"/>
      <c r="I62" s="247">
        <f>F62</f>
        <v>7612.77</v>
      </c>
      <c r="J62" s="270"/>
      <c r="K62" s="151">
        <f>I62-F62</f>
        <v>0</v>
      </c>
      <c r="L62" s="193">
        <f t="shared" si="6"/>
        <v>0</v>
      </c>
      <c r="M62" s="135"/>
      <c r="N62" s="135"/>
      <c r="O62" s="248"/>
    </row>
    <row r="63" spans="1:16" x14ac:dyDescent="0.2">
      <c r="B63" s="149"/>
      <c r="C63" s="121"/>
      <c r="D63" s="152"/>
      <c r="E63" s="161"/>
      <c r="F63" s="159"/>
      <c r="H63" s="162"/>
      <c r="I63" s="247"/>
      <c r="J63" s="164"/>
      <c r="K63" s="151"/>
      <c r="L63" s="193"/>
      <c r="M63" s="135"/>
      <c r="N63" s="135"/>
      <c r="O63" s="172">
        <v>4.2429683015157149E-2</v>
      </c>
      <c r="P63" s="254"/>
    </row>
    <row r="64" spans="1:16" x14ac:dyDescent="0.2">
      <c r="B64" s="149" t="s">
        <v>322</v>
      </c>
      <c r="C64" s="121"/>
      <c r="D64" s="152"/>
      <c r="E64" s="161"/>
      <c r="F64" s="159"/>
      <c r="H64" s="162"/>
      <c r="I64" s="247"/>
      <c r="J64" s="164"/>
      <c r="K64" s="151"/>
      <c r="L64" s="193"/>
      <c r="M64" s="135"/>
      <c r="N64" s="135"/>
      <c r="O64" s="271"/>
      <c r="P64" s="138"/>
    </row>
    <row r="65" spans="1:16" x14ac:dyDescent="0.2">
      <c r="B65" s="190" t="s">
        <v>340</v>
      </c>
      <c r="C65" s="26" t="s">
        <v>223</v>
      </c>
      <c r="D65" s="152">
        <v>1063981.5778999999</v>
      </c>
      <c r="E65" s="161">
        <v>0.18382000000000001</v>
      </c>
      <c r="F65" s="159">
        <f>ROUND(D65*E65,2)</f>
        <v>195581.09</v>
      </c>
      <c r="H65" s="162">
        <f>ROUND(E65*(1+$O$65),5)</f>
        <v>0.1951</v>
      </c>
      <c r="I65" s="247">
        <f>ROUND(D65*H65,2)</f>
        <v>207582.81</v>
      </c>
      <c r="J65" s="164"/>
      <c r="K65" s="151">
        <f>I65-F65</f>
        <v>12001.720000000001</v>
      </c>
      <c r="L65" s="193">
        <f t="shared" ref="L65:L66" si="7">IFERROR(K65/F65, )</f>
        <v>6.1364419228873313E-2</v>
      </c>
      <c r="M65" s="135"/>
      <c r="N65" s="135"/>
      <c r="O65" s="272">
        <f>(O59-SUM(I88:I91))/SUM(F94:F95)-1</f>
        <v>6.1383682309006371E-2</v>
      </c>
      <c r="P65" s="254"/>
    </row>
    <row r="66" spans="1:16" ht="12.75" customHeight="1" x14ac:dyDescent="0.2">
      <c r="B66" s="190" t="s">
        <v>341</v>
      </c>
      <c r="C66" s="26" t="s">
        <v>223</v>
      </c>
      <c r="D66" s="152">
        <v>4709188.9097905457</v>
      </c>
      <c r="E66" s="161">
        <v>0.13031000000000001</v>
      </c>
      <c r="F66" s="159">
        <f>ROUND(D66*E66,2)</f>
        <v>613654.41</v>
      </c>
      <c r="H66" s="162">
        <f>ROUND(E66*(1+$O$65),5)</f>
        <v>0.13830999999999999</v>
      </c>
      <c r="I66" s="247">
        <f>ROUND(D66*H66,2)</f>
        <v>651327.92000000004</v>
      </c>
      <c r="J66" s="164"/>
      <c r="K66" s="151">
        <f>I66-F66</f>
        <v>37673.510000000009</v>
      </c>
      <c r="L66" s="193">
        <f t="shared" si="7"/>
        <v>6.1392062675798269E-2</v>
      </c>
      <c r="M66" s="135"/>
      <c r="N66" s="135"/>
      <c r="O66" s="271"/>
      <c r="P66" s="254"/>
    </row>
    <row r="67" spans="1:16" ht="12.75" customHeight="1" x14ac:dyDescent="0.2">
      <c r="B67" s="166" t="s">
        <v>315</v>
      </c>
      <c r="C67" s="121" t="s">
        <v>223</v>
      </c>
      <c r="D67" s="198">
        <f>SUM(D65:D66)</f>
        <v>5773170.4876905456</v>
      </c>
      <c r="E67" s="234"/>
      <c r="F67" s="251">
        <f>SUM(F59:F66)</f>
        <v>1143200.29</v>
      </c>
      <c r="H67" s="157"/>
      <c r="I67" s="251">
        <f>SUM(I59:I66)</f>
        <v>1192875.52</v>
      </c>
      <c r="J67" s="164"/>
      <c r="K67" s="203">
        <f>SUM(K59:K66)</f>
        <v>49675.23000000001</v>
      </c>
      <c r="L67" s="273">
        <f>IFERROR(K67/F67, )</f>
        <v>4.3452779390040226E-2</v>
      </c>
      <c r="M67" s="135"/>
      <c r="N67" s="135"/>
      <c r="O67" s="214"/>
      <c r="P67" s="254"/>
    </row>
    <row r="68" spans="1:16" x14ac:dyDescent="0.2">
      <c r="B68" s="166"/>
      <c r="C68" s="167"/>
      <c r="D68" s="152"/>
      <c r="E68" s="234"/>
      <c r="F68" s="247"/>
      <c r="H68" s="157"/>
      <c r="I68" s="247"/>
      <c r="J68" s="164"/>
      <c r="K68" s="151"/>
      <c r="L68" s="153"/>
      <c r="M68" s="135"/>
      <c r="N68" s="200"/>
      <c r="O68" s="253"/>
      <c r="P68" s="254"/>
    </row>
    <row r="69" spans="1:16" s="121" customFormat="1" x14ac:dyDescent="0.2">
      <c r="B69" s="149" t="s">
        <v>316</v>
      </c>
      <c r="D69" s="152"/>
      <c r="E69" s="187"/>
      <c r="F69" s="251">
        <f>F67</f>
        <v>1143200.29</v>
      </c>
      <c r="G69" s="152"/>
      <c r="H69" s="157"/>
      <c r="I69" s="251">
        <f>I67</f>
        <v>1192875.52</v>
      </c>
      <c r="J69" s="164"/>
      <c r="K69" s="203">
        <f>K67</f>
        <v>49675.23000000001</v>
      </c>
      <c r="L69" s="273">
        <f>IFERROR(K69/F69, )</f>
        <v>4.3452779390040226E-2</v>
      </c>
      <c r="M69" s="135"/>
      <c r="N69" s="135"/>
    </row>
    <row r="70" spans="1:16" x14ac:dyDescent="0.2">
      <c r="A70" s="121"/>
      <c r="B70" s="175"/>
      <c r="C70" s="255"/>
      <c r="D70" s="211"/>
      <c r="E70" s="274"/>
      <c r="F70" s="181"/>
      <c r="G70" s="211"/>
      <c r="H70" s="257"/>
      <c r="I70" s="264"/>
      <c r="J70" s="258"/>
      <c r="K70" s="182"/>
      <c r="L70" s="275"/>
      <c r="M70" s="135"/>
      <c r="N70" s="135"/>
    </row>
    <row r="71" spans="1:16" s="121" customFormat="1" x14ac:dyDescent="0.2">
      <c r="D71" s="152"/>
      <c r="E71" s="276"/>
      <c r="F71" s="159"/>
      <c r="G71" s="152"/>
      <c r="H71" s="157"/>
      <c r="I71" s="247"/>
      <c r="J71" s="164"/>
      <c r="K71" s="151"/>
      <c r="L71" s="277"/>
      <c r="M71" s="135"/>
      <c r="N71" s="135"/>
    </row>
    <row r="72" spans="1:16" x14ac:dyDescent="0.2">
      <c r="A72" s="121"/>
      <c r="B72" s="141" t="s">
        <v>342</v>
      </c>
      <c r="C72" s="142"/>
      <c r="D72" s="145"/>
      <c r="E72" s="241"/>
      <c r="F72" s="260"/>
      <c r="G72" s="145"/>
      <c r="H72" s="243"/>
      <c r="I72" s="269"/>
      <c r="J72" s="244"/>
      <c r="K72" s="144"/>
      <c r="L72" s="147"/>
      <c r="M72" s="135"/>
      <c r="N72" s="135"/>
    </row>
    <row r="73" spans="1:16" x14ac:dyDescent="0.2">
      <c r="A73" s="121"/>
      <c r="B73" s="149"/>
      <c r="C73" s="121"/>
      <c r="D73" s="152"/>
      <c r="E73" s="234"/>
      <c r="F73" s="159"/>
      <c r="G73" s="191"/>
      <c r="H73" s="157"/>
      <c r="I73" s="247"/>
      <c r="J73" s="164"/>
      <c r="K73" s="151"/>
      <c r="L73" s="193"/>
      <c r="M73" s="135"/>
      <c r="N73" s="135"/>
    </row>
    <row r="74" spans="1:16" x14ac:dyDescent="0.2">
      <c r="A74" s="121"/>
      <c r="B74" s="166" t="s">
        <v>310</v>
      </c>
      <c r="C74" s="167" t="s">
        <v>311</v>
      </c>
      <c r="D74" s="152">
        <v>135.03332221112262</v>
      </c>
      <c r="E74" s="157">
        <v>457.76</v>
      </c>
      <c r="F74" s="159">
        <f>ROUND(D74*E74,2)</f>
        <v>61812.85</v>
      </c>
      <c r="H74" s="158">
        <f>E74</f>
        <v>457.76</v>
      </c>
      <c r="I74" s="247">
        <f>ROUND(D74*H74,2)</f>
        <v>61812.85</v>
      </c>
      <c r="J74" s="164"/>
      <c r="K74" s="151">
        <f>I74-F74</f>
        <v>0</v>
      </c>
      <c r="L74" s="193">
        <f t="shared" ref="L74:L76" si="8">IFERROR(K74/F74, )</f>
        <v>0</v>
      </c>
      <c r="M74" s="135"/>
      <c r="N74" s="135"/>
    </row>
    <row r="75" spans="1:16" x14ac:dyDescent="0.2">
      <c r="A75" s="121"/>
      <c r="B75" s="149" t="s">
        <v>321</v>
      </c>
      <c r="C75" s="121" t="s">
        <v>108</v>
      </c>
      <c r="D75" s="152">
        <v>43385</v>
      </c>
      <c r="E75" s="157">
        <v>1.35</v>
      </c>
      <c r="F75" s="159">
        <f>ROUND(D75*E75,2)</f>
        <v>58569.75</v>
      </c>
      <c r="H75" s="158">
        <f>H60</f>
        <v>1.35</v>
      </c>
      <c r="I75" s="247">
        <f>ROUND(D75*H75,2)</f>
        <v>58569.75</v>
      </c>
      <c r="J75" s="164"/>
      <c r="K75" s="151">
        <f>I75-F75</f>
        <v>0</v>
      </c>
      <c r="L75" s="193">
        <f t="shared" si="8"/>
        <v>0</v>
      </c>
      <c r="M75" s="135"/>
      <c r="N75" s="135"/>
    </row>
    <row r="76" spans="1:16" x14ac:dyDescent="0.2">
      <c r="A76" s="121"/>
      <c r="B76" s="149" t="s">
        <v>335</v>
      </c>
      <c r="C76" s="121"/>
      <c r="D76" s="152"/>
      <c r="E76" s="161"/>
      <c r="F76" s="247">
        <v>0</v>
      </c>
      <c r="H76" s="162"/>
      <c r="I76" s="247">
        <f>F76</f>
        <v>0</v>
      </c>
      <c r="J76" s="270"/>
      <c r="K76" s="151">
        <f>I76-F76</f>
        <v>0</v>
      </c>
      <c r="L76" s="193">
        <f t="shared" si="8"/>
        <v>0</v>
      </c>
      <c r="M76" s="135"/>
      <c r="N76" s="135"/>
    </row>
    <row r="77" spans="1:16" x14ac:dyDescent="0.2">
      <c r="A77" s="121"/>
      <c r="B77" s="149"/>
      <c r="C77" s="121"/>
      <c r="D77" s="152"/>
      <c r="E77" s="161"/>
      <c r="F77" s="159"/>
      <c r="H77" s="162"/>
      <c r="I77" s="247"/>
      <c r="J77" s="164"/>
      <c r="K77" s="151"/>
      <c r="L77" s="193"/>
      <c r="M77" s="135"/>
      <c r="N77" s="135"/>
    </row>
    <row r="78" spans="1:16" x14ac:dyDescent="0.2">
      <c r="A78" s="121"/>
      <c r="B78" s="149" t="s">
        <v>322</v>
      </c>
      <c r="C78" s="121"/>
      <c r="D78" s="152"/>
      <c r="E78" s="161"/>
      <c r="F78" s="159"/>
      <c r="H78" s="162"/>
      <c r="I78" s="247"/>
      <c r="J78" s="164"/>
      <c r="K78" s="151"/>
      <c r="L78" s="193"/>
      <c r="M78" s="135"/>
      <c r="N78" s="135"/>
    </row>
    <row r="79" spans="1:16" x14ac:dyDescent="0.2">
      <c r="A79" s="121"/>
      <c r="B79" s="190" t="s">
        <v>340</v>
      </c>
      <c r="C79" s="26" t="s">
        <v>223</v>
      </c>
      <c r="D79" s="152">
        <v>160051.62</v>
      </c>
      <c r="E79" s="161">
        <v>0.18382000000000001</v>
      </c>
      <c r="F79" s="159">
        <f>ROUND(D79*E79,2)</f>
        <v>29420.69</v>
      </c>
      <c r="H79" s="162">
        <f>H65</f>
        <v>0.1951</v>
      </c>
      <c r="I79" s="247">
        <f>ROUND(D79*H79,2)</f>
        <v>31226.07</v>
      </c>
      <c r="J79" s="164"/>
      <c r="K79" s="151">
        <f>I79-F79</f>
        <v>1805.380000000001</v>
      </c>
      <c r="L79" s="193">
        <f t="shared" ref="L79:L80" si="9">IFERROR(K79/F79, )</f>
        <v>6.1364298390010605E-2</v>
      </c>
      <c r="M79" s="135"/>
      <c r="N79" s="135"/>
    </row>
    <row r="80" spans="1:16" x14ac:dyDescent="0.2">
      <c r="A80" s="121"/>
      <c r="B80" s="190" t="s">
        <v>341</v>
      </c>
      <c r="C80" s="26" t="s">
        <v>223</v>
      </c>
      <c r="D80" s="152">
        <v>1558432.7200000002</v>
      </c>
      <c r="E80" s="161">
        <v>0.13031000000000001</v>
      </c>
      <c r="F80" s="159">
        <f>ROUND(D80*E80,2)</f>
        <v>203079.37</v>
      </c>
      <c r="H80" s="162">
        <f>H66</f>
        <v>0.13830999999999999</v>
      </c>
      <c r="I80" s="247">
        <f>ROUND(D80*H80,2)</f>
        <v>215546.83</v>
      </c>
      <c r="J80" s="164"/>
      <c r="K80" s="151">
        <f>I80-F80</f>
        <v>12467.459999999992</v>
      </c>
      <c r="L80" s="193">
        <f t="shared" si="9"/>
        <v>6.1392055726783044E-2</v>
      </c>
      <c r="M80" s="135"/>
      <c r="N80" s="135"/>
    </row>
    <row r="81" spans="1:14" x14ac:dyDescent="0.2">
      <c r="A81" s="121"/>
      <c r="B81" s="166" t="s">
        <v>315</v>
      </c>
      <c r="C81" s="121" t="s">
        <v>223</v>
      </c>
      <c r="D81" s="198">
        <f>SUM(D79:D80)</f>
        <v>1718484.3400000003</v>
      </c>
      <c r="E81" s="234"/>
      <c r="F81" s="251">
        <f>SUM(F74:F80)</f>
        <v>352882.66000000003</v>
      </c>
      <c r="H81" s="157"/>
      <c r="I81" s="251">
        <f>SUM(I74:I80)</f>
        <v>367155.5</v>
      </c>
      <c r="J81" s="164"/>
      <c r="K81" s="203">
        <f>SUM(K74:K80)</f>
        <v>14272.839999999993</v>
      </c>
      <c r="L81" s="273">
        <f>IFERROR(K81/F81, )</f>
        <v>4.044641921481773E-2</v>
      </c>
      <c r="M81" s="135"/>
      <c r="N81" s="135"/>
    </row>
    <row r="82" spans="1:14" x14ac:dyDescent="0.2">
      <c r="A82" s="121"/>
      <c r="B82" s="166"/>
      <c r="C82" s="167"/>
      <c r="D82" s="152"/>
      <c r="E82" s="234"/>
      <c r="F82" s="247"/>
      <c r="H82" s="157"/>
      <c r="I82" s="247"/>
      <c r="J82" s="164"/>
      <c r="K82" s="151"/>
      <c r="L82" s="153"/>
      <c r="M82" s="135"/>
      <c r="N82" s="135"/>
    </row>
    <row r="83" spans="1:14" x14ac:dyDescent="0.2">
      <c r="A83" s="121"/>
      <c r="B83" s="166" t="s">
        <v>316</v>
      </c>
      <c r="C83" s="121"/>
      <c r="D83" s="152"/>
      <c r="E83" s="157"/>
      <c r="F83" s="251">
        <f>+F81</f>
        <v>352882.66000000003</v>
      </c>
      <c r="G83" s="251"/>
      <c r="H83" s="157"/>
      <c r="I83" s="251">
        <f>+I81</f>
        <v>367155.5</v>
      </c>
      <c r="J83" s="187"/>
      <c r="K83" s="203">
        <f>+K81</f>
        <v>14272.839999999993</v>
      </c>
      <c r="L83" s="273">
        <f>IFERROR(K83/F83, )</f>
        <v>4.044641921481773E-2</v>
      </c>
      <c r="M83" s="135"/>
      <c r="N83" s="135"/>
    </row>
    <row r="84" spans="1:14" x14ac:dyDescent="0.2">
      <c r="A84" s="121"/>
      <c r="B84" s="175"/>
      <c r="C84" s="255"/>
      <c r="D84" s="211"/>
      <c r="E84" s="256"/>
      <c r="F84" s="181"/>
      <c r="G84" s="211"/>
      <c r="H84" s="257"/>
      <c r="I84" s="264"/>
      <c r="J84" s="258"/>
      <c r="K84" s="182"/>
      <c r="L84" s="183"/>
      <c r="M84" s="135"/>
      <c r="N84" s="135"/>
    </row>
    <row r="85" spans="1:14" s="121" customFormat="1" x14ac:dyDescent="0.2">
      <c r="D85" s="152"/>
      <c r="E85" s="276"/>
      <c r="F85" s="159"/>
      <c r="G85" s="152"/>
      <c r="H85" s="157"/>
      <c r="I85" s="247"/>
      <c r="J85" s="164"/>
      <c r="K85" s="151"/>
      <c r="L85" s="277"/>
      <c r="M85" s="135"/>
      <c r="N85" s="135"/>
    </row>
    <row r="86" spans="1:14" x14ac:dyDescent="0.2">
      <c r="A86" s="121"/>
      <c r="B86" s="141" t="s">
        <v>343</v>
      </c>
      <c r="C86" s="142"/>
      <c r="D86" s="145"/>
      <c r="E86" s="241"/>
      <c r="F86" s="260"/>
      <c r="G86" s="145"/>
      <c r="H86" s="243"/>
      <c r="I86" s="269"/>
      <c r="J86" s="244"/>
      <c r="K86" s="144"/>
      <c r="L86" s="147"/>
      <c r="M86" s="135"/>
      <c r="N86" s="135"/>
    </row>
    <row r="87" spans="1:14" x14ac:dyDescent="0.2">
      <c r="A87" s="121"/>
      <c r="B87" s="149"/>
      <c r="C87" s="121"/>
      <c r="D87" s="152"/>
      <c r="E87" s="234"/>
      <c r="F87" s="159"/>
      <c r="G87" s="191"/>
      <c r="H87" s="157"/>
      <c r="I87" s="247"/>
      <c r="J87" s="164"/>
      <c r="K87" s="151"/>
      <c r="L87" s="193"/>
      <c r="M87" s="135"/>
      <c r="N87" s="135"/>
    </row>
    <row r="88" spans="1:14" x14ac:dyDescent="0.2">
      <c r="A88" s="121"/>
      <c r="B88" s="166" t="s">
        <v>310</v>
      </c>
      <c r="C88" s="167" t="s">
        <v>311</v>
      </c>
      <c r="D88" s="152">
        <f>D59+D74</f>
        <v>1499.3332818939609</v>
      </c>
      <c r="E88" s="157"/>
      <c r="F88" s="159">
        <f>F59+F74</f>
        <v>264847.96999999997</v>
      </c>
      <c r="H88" s="188"/>
      <c r="I88" s="159">
        <f>I59+I74</f>
        <v>264847.96999999997</v>
      </c>
      <c r="J88" s="164"/>
      <c r="K88" s="151">
        <f>I88-F88</f>
        <v>0</v>
      </c>
      <c r="L88" s="193">
        <f t="shared" ref="L88:L91" si="10">IFERROR(K88/F88, )</f>
        <v>0</v>
      </c>
      <c r="M88" s="135"/>
      <c r="N88" s="135"/>
    </row>
    <row r="89" spans="1:14" x14ac:dyDescent="0.2">
      <c r="A89" s="121"/>
      <c r="B89" s="149" t="s">
        <v>321</v>
      </c>
      <c r="C89" s="121" t="s">
        <v>108</v>
      </c>
      <c r="D89" s="152">
        <f>D60+D75</f>
        <v>82472.972999999998</v>
      </c>
      <c r="E89" s="157"/>
      <c r="F89" s="159">
        <f>F60+F75</f>
        <v>111338.51000000001</v>
      </c>
      <c r="H89" s="188"/>
      <c r="I89" s="159">
        <f>I60+I75</f>
        <v>111338.51000000001</v>
      </c>
      <c r="J89" s="164"/>
      <c r="K89" s="151">
        <f>I89-F89</f>
        <v>0</v>
      </c>
      <c r="L89" s="193">
        <f t="shared" si="10"/>
        <v>0</v>
      </c>
      <c r="M89" s="135"/>
      <c r="N89" s="135"/>
    </row>
    <row r="90" spans="1:14" x14ac:dyDescent="0.2">
      <c r="A90" s="121"/>
      <c r="B90" s="149" t="s">
        <v>314</v>
      </c>
      <c r="C90" s="121" t="s">
        <v>223</v>
      </c>
      <c r="D90" s="152">
        <f>D61</f>
        <v>5773170.4876905456</v>
      </c>
      <c r="E90" s="161"/>
      <c r="F90" s="159">
        <f>F61</f>
        <v>70548.14</v>
      </c>
      <c r="H90" s="189"/>
      <c r="I90" s="159">
        <f>I61</f>
        <v>70548.14</v>
      </c>
      <c r="J90" s="164"/>
      <c r="K90" s="151">
        <f>I90-F90</f>
        <v>0</v>
      </c>
      <c r="L90" s="193">
        <f t="shared" si="10"/>
        <v>0</v>
      </c>
      <c r="M90" s="135"/>
      <c r="N90" s="135"/>
    </row>
    <row r="91" spans="1:14" x14ac:dyDescent="0.2">
      <c r="A91" s="121"/>
      <c r="B91" s="149" t="s">
        <v>335</v>
      </c>
      <c r="C91" s="121"/>
      <c r="D91" s="152"/>
      <c r="E91" s="161"/>
      <c r="F91" s="247">
        <f>F62+F76</f>
        <v>7612.77</v>
      </c>
      <c r="H91" s="161"/>
      <c r="I91" s="247">
        <f>I62+I76</f>
        <v>7612.77</v>
      </c>
      <c r="J91" s="270"/>
      <c r="K91" s="151">
        <f>I91-F91</f>
        <v>0</v>
      </c>
      <c r="L91" s="193">
        <f t="shared" si="10"/>
        <v>0</v>
      </c>
      <c r="M91" s="135"/>
      <c r="N91" s="135"/>
    </row>
    <row r="92" spans="1:14" x14ac:dyDescent="0.2">
      <c r="A92" s="121"/>
      <c r="B92" s="149"/>
      <c r="C92" s="121"/>
      <c r="D92" s="152"/>
      <c r="E92" s="161"/>
      <c r="F92" s="159"/>
      <c r="H92" s="161"/>
      <c r="I92" s="159"/>
      <c r="J92" s="164"/>
      <c r="K92" s="151"/>
      <c r="L92" s="193"/>
      <c r="M92" s="135"/>
      <c r="N92" s="135"/>
    </row>
    <row r="93" spans="1:14" x14ac:dyDescent="0.2">
      <c r="A93" s="121"/>
      <c r="B93" s="149" t="s">
        <v>322</v>
      </c>
      <c r="C93" s="121"/>
      <c r="D93" s="152"/>
      <c r="E93" s="161"/>
      <c r="F93" s="159"/>
      <c r="H93" s="161"/>
      <c r="I93" s="159"/>
      <c r="J93" s="164"/>
      <c r="K93" s="151"/>
      <c r="L93" s="193"/>
      <c r="M93" s="135"/>
      <c r="N93" s="135"/>
    </row>
    <row r="94" spans="1:14" x14ac:dyDescent="0.2">
      <c r="A94" s="121"/>
      <c r="B94" s="190" t="s">
        <v>340</v>
      </c>
      <c r="C94" s="26" t="s">
        <v>223</v>
      </c>
      <c r="D94" s="152">
        <f>D65+D79</f>
        <v>1224033.1979</v>
      </c>
      <c r="E94" s="161"/>
      <c r="F94" s="159">
        <f>F65+F79</f>
        <v>225001.78</v>
      </c>
      <c r="H94" s="161"/>
      <c r="I94" s="159">
        <f>I65+I79</f>
        <v>238808.88</v>
      </c>
      <c r="J94" s="164"/>
      <c r="K94" s="151">
        <f>I94-F94</f>
        <v>13807.100000000006</v>
      </c>
      <c r="L94" s="193">
        <f t="shared" ref="L94:L95" si="11">IFERROR(K94/F94, )</f>
        <v>6.1364403428275129E-2</v>
      </c>
      <c r="M94" s="135"/>
      <c r="N94" s="135"/>
    </row>
    <row r="95" spans="1:14" x14ac:dyDescent="0.2">
      <c r="A95" s="121"/>
      <c r="B95" s="190" t="s">
        <v>341</v>
      </c>
      <c r="C95" s="26" t="s">
        <v>223</v>
      </c>
      <c r="D95" s="152">
        <f>D66+D80</f>
        <v>6267621.6297905464</v>
      </c>
      <c r="E95" s="161"/>
      <c r="F95" s="159">
        <f>F66+F80</f>
        <v>816733.78</v>
      </c>
      <c r="H95" s="161"/>
      <c r="I95" s="159">
        <f>I66+I80</f>
        <v>866874.75</v>
      </c>
      <c r="J95" s="164"/>
      <c r="K95" s="151">
        <f>I95-F95</f>
        <v>50140.969999999972</v>
      </c>
      <c r="L95" s="193">
        <f t="shared" si="11"/>
        <v>6.1392060947938226E-2</v>
      </c>
      <c r="M95" s="135"/>
      <c r="N95" s="135"/>
    </row>
    <row r="96" spans="1:14" x14ac:dyDescent="0.2">
      <c r="A96" s="121"/>
      <c r="B96" s="166" t="s">
        <v>315</v>
      </c>
      <c r="C96" s="121" t="s">
        <v>223</v>
      </c>
      <c r="D96" s="198">
        <f>SUM(D94:D95)</f>
        <v>7491654.8276905464</v>
      </c>
      <c r="E96" s="234"/>
      <c r="F96" s="251">
        <f>SUM(F88:F95)</f>
        <v>1496082.9500000002</v>
      </c>
      <c r="H96" s="157"/>
      <c r="I96" s="251">
        <f>SUM(I88:I95)</f>
        <v>1560031.02</v>
      </c>
      <c r="J96" s="164"/>
      <c r="K96" s="203">
        <f>SUM(K88:K95)</f>
        <v>63948.069999999978</v>
      </c>
      <c r="L96" s="273">
        <f>IFERROR(K96/F96, )</f>
        <v>4.2743666051404415E-2</v>
      </c>
      <c r="M96" s="135"/>
      <c r="N96" s="135"/>
    </row>
    <row r="97" spans="1:16" x14ac:dyDescent="0.2">
      <c r="A97" s="121"/>
      <c r="B97" s="166"/>
      <c r="C97" s="167"/>
      <c r="D97" s="152"/>
      <c r="E97" s="234"/>
      <c r="F97" s="247"/>
      <c r="H97" s="157"/>
      <c r="I97" s="247"/>
      <c r="J97" s="164"/>
      <c r="K97" s="151"/>
      <c r="L97" s="153"/>
      <c r="M97" s="135"/>
      <c r="N97" s="135"/>
    </row>
    <row r="98" spans="1:16" x14ac:dyDescent="0.2">
      <c r="A98" s="121"/>
      <c r="B98" s="166" t="s">
        <v>316</v>
      </c>
      <c r="C98" s="167"/>
      <c r="D98" s="26"/>
      <c r="E98" s="187"/>
      <c r="F98" s="251">
        <f>F96</f>
        <v>1496082.9500000002</v>
      </c>
      <c r="G98" s="26"/>
      <c r="H98" s="157"/>
      <c r="I98" s="251">
        <f>I96</f>
        <v>1560031.02</v>
      </c>
      <c r="J98" s="164"/>
      <c r="K98" s="203">
        <f>K96</f>
        <v>63948.069999999978</v>
      </c>
      <c r="L98" s="273">
        <f>IFERROR(K98/F98, )</f>
        <v>4.2743666051404415E-2</v>
      </c>
      <c r="M98" s="135"/>
      <c r="N98" s="135"/>
    </row>
    <row r="99" spans="1:16" x14ac:dyDescent="0.2">
      <c r="A99" s="121"/>
      <c r="B99" s="175"/>
      <c r="C99" s="255"/>
      <c r="D99" s="211"/>
      <c r="E99" s="256"/>
      <c r="F99" s="181"/>
      <c r="G99" s="211"/>
      <c r="H99" s="257"/>
      <c r="I99" s="264"/>
      <c r="J99" s="258"/>
      <c r="K99" s="182"/>
      <c r="L99" s="275"/>
      <c r="M99" s="135"/>
      <c r="N99" s="135"/>
    </row>
    <row r="100" spans="1:16" s="121" customFormat="1" x14ac:dyDescent="0.2">
      <c r="B100" s="26"/>
      <c r="C100" s="26"/>
      <c r="D100" s="152"/>
      <c r="E100" s="276"/>
      <c r="F100" s="159"/>
      <c r="G100" s="152"/>
      <c r="H100" s="157"/>
      <c r="I100" s="247"/>
      <c r="J100" s="259"/>
      <c r="K100" s="159"/>
      <c r="L100" s="278"/>
      <c r="M100" s="135"/>
      <c r="N100" s="135"/>
    </row>
    <row r="101" spans="1:16" s="121" customFormat="1" x14ac:dyDescent="0.2">
      <c r="B101" s="26"/>
      <c r="C101" s="26"/>
      <c r="D101" s="152"/>
      <c r="E101" s="161"/>
      <c r="F101" s="159"/>
      <c r="G101" s="152"/>
      <c r="H101" s="157"/>
      <c r="I101" s="247"/>
      <c r="J101" s="259"/>
      <c r="K101" s="159"/>
      <c r="L101" s="278"/>
      <c r="M101" s="135"/>
      <c r="N101" s="135"/>
    </row>
    <row r="102" spans="1:16" x14ac:dyDescent="0.2">
      <c r="B102" s="141" t="s">
        <v>208</v>
      </c>
      <c r="C102" s="142"/>
      <c r="D102" s="145"/>
      <c r="E102" s="241"/>
      <c r="F102" s="260"/>
      <c r="G102" s="145"/>
      <c r="H102" s="243"/>
      <c r="I102" s="269"/>
      <c r="J102" s="244"/>
      <c r="K102" s="144"/>
      <c r="L102" s="245"/>
      <c r="M102" s="135"/>
      <c r="N102" s="135"/>
      <c r="O102" s="121"/>
    </row>
    <row r="103" spans="1:16" x14ac:dyDescent="0.2">
      <c r="B103" s="149"/>
      <c r="C103" s="121"/>
      <c r="D103" s="152"/>
      <c r="E103" s="234"/>
      <c r="F103" s="159"/>
      <c r="H103" s="157"/>
      <c r="I103" s="247"/>
      <c r="J103" s="164"/>
      <c r="K103" s="151"/>
      <c r="L103" s="193"/>
      <c r="M103" s="135"/>
      <c r="N103" s="135"/>
      <c r="O103" s="129" t="s">
        <v>344</v>
      </c>
    </row>
    <row r="104" spans="1:16" x14ac:dyDescent="0.2">
      <c r="B104" s="166" t="s">
        <v>310</v>
      </c>
      <c r="C104" s="167" t="s">
        <v>311</v>
      </c>
      <c r="D104" s="152">
        <v>61</v>
      </c>
      <c r="E104" s="157">
        <v>606.5</v>
      </c>
      <c r="F104" s="159">
        <f>ROUND(D104*E104,2)</f>
        <v>36996.5</v>
      </c>
      <c r="H104" s="158">
        <v>715.15</v>
      </c>
      <c r="I104" s="247">
        <f>ROUND(D104*H104,2)</f>
        <v>43624.15</v>
      </c>
      <c r="J104" s="164"/>
      <c r="K104" s="151">
        <f>I104-F104</f>
        <v>6627.6500000000015</v>
      </c>
      <c r="L104" s="193">
        <f t="shared" ref="L104:L107" si="12">IFERROR(K104/F104, )</f>
        <v>0.17914262159934052</v>
      </c>
      <c r="M104" s="135"/>
      <c r="N104" s="135"/>
      <c r="O104" s="279">
        <v>6299755.2809057441</v>
      </c>
    </row>
    <row r="105" spans="1:16" x14ac:dyDescent="0.2">
      <c r="B105" s="149" t="s">
        <v>321</v>
      </c>
      <c r="C105" s="121" t="s">
        <v>108</v>
      </c>
      <c r="D105" s="152">
        <v>0</v>
      </c>
      <c r="E105" s="157">
        <v>1.45</v>
      </c>
      <c r="F105" s="159">
        <f>ROUND(D105*E105,2)</f>
        <v>0</v>
      </c>
      <c r="H105" s="158">
        <f>E105</f>
        <v>1.45</v>
      </c>
      <c r="I105" s="247">
        <f>ROUND(D105*H105,2)</f>
        <v>0</v>
      </c>
      <c r="J105" s="164"/>
      <c r="K105" s="151">
        <f>I105-F105</f>
        <v>0</v>
      </c>
      <c r="L105" s="193">
        <f>IFERROR(K105/F105, )</f>
        <v>0</v>
      </c>
      <c r="M105" s="135"/>
      <c r="N105" s="135"/>
      <c r="O105" s="163" t="s">
        <v>313</v>
      </c>
    </row>
    <row r="106" spans="1:16" x14ac:dyDescent="0.2">
      <c r="B106" s="149" t="s">
        <v>314</v>
      </c>
      <c r="C106" s="121"/>
      <c r="D106" s="152">
        <f>D116</f>
        <v>21819455.762355208</v>
      </c>
      <c r="E106" s="161">
        <v>8.43E-3</v>
      </c>
      <c r="F106" s="159">
        <f>ROUND(D106*E106,2)</f>
        <v>183938.01</v>
      </c>
      <c r="H106" s="162">
        <f>ROUND(E106*(1+$O$108),5)</f>
        <v>9.3200000000000002E-3</v>
      </c>
      <c r="I106" s="159">
        <f>ROUND(D106*H106,2)</f>
        <v>203357.33</v>
      </c>
      <c r="J106" s="164"/>
      <c r="K106" s="151">
        <f>I106-F106</f>
        <v>19419.319999999978</v>
      </c>
      <c r="L106" s="193">
        <f t="shared" si="12"/>
        <v>0.10557535117401769</v>
      </c>
      <c r="M106" s="135"/>
      <c r="N106" s="135"/>
      <c r="O106" s="246">
        <f>I155-O104</f>
        <v>151.2490942561999</v>
      </c>
    </row>
    <row r="107" spans="1:16" x14ac:dyDescent="0.2">
      <c r="B107" s="190" t="s">
        <v>335</v>
      </c>
      <c r="C107" s="26"/>
      <c r="D107" s="152"/>
      <c r="E107" s="157"/>
      <c r="F107" s="247">
        <v>51086.770000000004</v>
      </c>
      <c r="H107" s="161" t="s">
        <v>345</v>
      </c>
      <c r="I107" s="247">
        <f>F107</f>
        <v>51086.770000000004</v>
      </c>
      <c r="J107" s="164"/>
      <c r="K107" s="151">
        <f>I107-F107</f>
        <v>0</v>
      </c>
      <c r="L107" s="193">
        <f t="shared" si="12"/>
        <v>0</v>
      </c>
      <c r="M107" s="135"/>
      <c r="N107" s="135"/>
      <c r="O107" s="280"/>
    </row>
    <row r="108" spans="1:16" x14ac:dyDescent="0.2">
      <c r="B108" s="149"/>
      <c r="C108" s="121"/>
      <c r="D108" s="152"/>
      <c r="E108" s="187"/>
      <c r="F108" s="159"/>
      <c r="H108" s="161"/>
      <c r="I108" s="247"/>
      <c r="J108" s="164"/>
      <c r="K108" s="195"/>
      <c r="L108" s="196"/>
      <c r="M108" s="135"/>
      <c r="N108" s="135"/>
      <c r="O108" s="281">
        <v>0.10610240784340896</v>
      </c>
    </row>
    <row r="109" spans="1:16" x14ac:dyDescent="0.2">
      <c r="B109" s="149" t="s">
        <v>322</v>
      </c>
      <c r="C109" s="121"/>
      <c r="D109" s="152"/>
      <c r="E109" s="187"/>
      <c r="F109" s="159"/>
      <c r="H109" s="161"/>
      <c r="I109" s="247"/>
      <c r="J109" s="164"/>
      <c r="K109" s="195"/>
      <c r="L109" s="196"/>
      <c r="M109" s="135"/>
      <c r="N109" s="135"/>
      <c r="O109" s="282">
        <f>(O104-SUM(I141:I144,I152))/SUM(F147:F151)-1</f>
        <v>0.18370474105037182</v>
      </c>
      <c r="P109" s="254"/>
    </row>
    <row r="110" spans="1:16" x14ac:dyDescent="0.2">
      <c r="B110" s="149" t="s">
        <v>204</v>
      </c>
      <c r="C110" s="121" t="s">
        <v>223</v>
      </c>
      <c r="D110" s="152">
        <v>1512193</v>
      </c>
      <c r="E110" s="161">
        <v>0.17533000000000001</v>
      </c>
      <c r="F110" s="159">
        <f t="shared" ref="F110:F115" si="13">ROUND(D110*E110,2)</f>
        <v>265132.79999999999</v>
      </c>
      <c r="H110" s="162">
        <f>ROUND(E110*(1+$O$109),5)</f>
        <v>0.20754</v>
      </c>
      <c r="I110" s="247">
        <f t="shared" ref="I110:I115" si="14">ROUND(D110*H110,2)</f>
        <v>313840.53999999998</v>
      </c>
      <c r="J110" s="164"/>
      <c r="K110" s="151">
        <f t="shared" ref="K110:K116" si="15">I110-F110</f>
        <v>48707.739999999991</v>
      </c>
      <c r="L110" s="193">
        <f t="shared" ref="L110:L115" si="16">IFERROR(K110/F110, )</f>
        <v>0.18371072911386291</v>
      </c>
      <c r="M110" s="135"/>
      <c r="N110" s="135"/>
      <c r="O110" s="282">
        <f>O108*0.33</f>
        <v>3.5013794588324959E-2</v>
      </c>
      <c r="P110" s="138"/>
    </row>
    <row r="111" spans="1:16" x14ac:dyDescent="0.2">
      <c r="B111" s="149" t="s">
        <v>205</v>
      </c>
      <c r="C111" s="121" t="s">
        <v>223</v>
      </c>
      <c r="D111" s="152">
        <v>1398016.115</v>
      </c>
      <c r="E111" s="161">
        <v>0.10595</v>
      </c>
      <c r="F111" s="159">
        <f t="shared" si="13"/>
        <v>148119.81</v>
      </c>
      <c r="H111" s="162">
        <f t="shared" ref="H111:H114" si="17">ROUND(E111*(1+$O$109),5)</f>
        <v>0.12540999999999999</v>
      </c>
      <c r="I111" s="247">
        <f t="shared" si="14"/>
        <v>175325.2</v>
      </c>
      <c r="J111" s="164"/>
      <c r="K111" s="151">
        <f t="shared" si="15"/>
        <v>27205.390000000014</v>
      </c>
      <c r="L111" s="193">
        <f t="shared" si="16"/>
        <v>0.18367151564669179</v>
      </c>
      <c r="M111" s="135"/>
      <c r="N111" s="135"/>
      <c r="O111" s="208"/>
      <c r="P111" s="121"/>
    </row>
    <row r="112" spans="1:16" x14ac:dyDescent="0.2">
      <c r="B112" s="149" t="s">
        <v>206</v>
      </c>
      <c r="C112" s="121" t="s">
        <v>223</v>
      </c>
      <c r="D112" s="152">
        <v>2316890.0959999999</v>
      </c>
      <c r="E112" s="161">
        <v>6.7419999999999994E-2</v>
      </c>
      <c r="F112" s="159">
        <f t="shared" si="13"/>
        <v>156204.73000000001</v>
      </c>
      <c r="H112" s="162">
        <f t="shared" si="17"/>
        <v>7.9810000000000006E-2</v>
      </c>
      <c r="I112" s="247">
        <f t="shared" si="14"/>
        <v>184911</v>
      </c>
      <c r="J112" s="164"/>
      <c r="K112" s="151">
        <f t="shared" si="15"/>
        <v>28706.26999999999</v>
      </c>
      <c r="L112" s="193">
        <f t="shared" si="16"/>
        <v>0.18377337229160723</v>
      </c>
      <c r="M112" s="135"/>
      <c r="N112" s="135"/>
      <c r="O112" s="167"/>
      <c r="P112" s="167"/>
    </row>
    <row r="113" spans="1:16" x14ac:dyDescent="0.2">
      <c r="B113" s="149" t="s">
        <v>209</v>
      </c>
      <c r="C113" s="121" t="s">
        <v>223</v>
      </c>
      <c r="D113" s="152">
        <v>3045256.8779999996</v>
      </c>
      <c r="E113" s="161">
        <v>4.3229999999999998E-2</v>
      </c>
      <c r="F113" s="159">
        <f t="shared" si="13"/>
        <v>131646.45000000001</v>
      </c>
      <c r="H113" s="162">
        <f t="shared" si="17"/>
        <v>5.117E-2</v>
      </c>
      <c r="I113" s="247">
        <f t="shared" si="14"/>
        <v>155825.79</v>
      </c>
      <c r="J113" s="164"/>
      <c r="K113" s="151">
        <f t="shared" si="15"/>
        <v>24179.339999999997</v>
      </c>
      <c r="L113" s="193">
        <f t="shared" si="16"/>
        <v>0.18366875825364068</v>
      </c>
      <c r="M113" s="135"/>
      <c r="N113" s="135"/>
      <c r="O113" s="121"/>
      <c r="P113" s="121"/>
    </row>
    <row r="114" spans="1:16" x14ac:dyDescent="0.2">
      <c r="B114" s="149" t="s">
        <v>210</v>
      </c>
      <c r="C114" s="121" t="s">
        <v>223</v>
      </c>
      <c r="D114" s="152">
        <v>3792042.2029999997</v>
      </c>
      <c r="E114" s="161">
        <v>3.1109999999999999E-2</v>
      </c>
      <c r="F114" s="159">
        <f t="shared" si="13"/>
        <v>117970.43</v>
      </c>
      <c r="H114" s="162">
        <f t="shared" si="17"/>
        <v>3.6830000000000002E-2</v>
      </c>
      <c r="I114" s="247">
        <f t="shared" si="14"/>
        <v>139660.91</v>
      </c>
      <c r="J114" s="164"/>
      <c r="K114" s="151">
        <f t="shared" si="15"/>
        <v>21690.48000000001</v>
      </c>
      <c r="L114" s="193">
        <f t="shared" si="16"/>
        <v>0.18386370211586084</v>
      </c>
      <c r="M114" s="135"/>
      <c r="N114" s="135"/>
      <c r="P114" s="121"/>
    </row>
    <row r="115" spans="1:16" x14ac:dyDescent="0.2">
      <c r="B115" s="149" t="s">
        <v>211</v>
      </c>
      <c r="C115" s="121" t="s">
        <v>223</v>
      </c>
      <c r="D115" s="152">
        <v>9755057.4703552071</v>
      </c>
      <c r="E115" s="161">
        <v>2.3990000000000001E-2</v>
      </c>
      <c r="F115" s="159">
        <f t="shared" si="13"/>
        <v>234023.83</v>
      </c>
      <c r="H115" s="162">
        <f>ROUND(E115*(1+$O$110),5)</f>
        <v>2.4830000000000001E-2</v>
      </c>
      <c r="I115" s="247">
        <f t="shared" si="14"/>
        <v>242218.08</v>
      </c>
      <c r="J115" s="164"/>
      <c r="K115" s="151">
        <f t="shared" si="15"/>
        <v>8194.25</v>
      </c>
      <c r="L115" s="193">
        <f t="shared" si="16"/>
        <v>3.501459659044124E-2</v>
      </c>
      <c r="M115" s="135"/>
      <c r="N115" s="135"/>
      <c r="O115" s="121"/>
      <c r="P115" s="167"/>
    </row>
    <row r="116" spans="1:16" x14ac:dyDescent="0.2">
      <c r="B116" s="166" t="s">
        <v>315</v>
      </c>
      <c r="C116" s="121" t="s">
        <v>223</v>
      </c>
      <c r="D116" s="198">
        <f>SUM(D110:D115)</f>
        <v>21819455.762355208</v>
      </c>
      <c r="E116" s="234"/>
      <c r="F116" s="251">
        <f>SUM(F104:F115)</f>
        <v>1325119.33</v>
      </c>
      <c r="H116" s="157"/>
      <c r="I116" s="251">
        <f>SUM(I104:I115)</f>
        <v>1509849.77</v>
      </c>
      <c r="J116" s="164"/>
      <c r="K116" s="203">
        <f t="shared" si="15"/>
        <v>184730.43999999994</v>
      </c>
      <c r="L116" s="273">
        <f>IFERROR(K116/F116, )</f>
        <v>0.13940664498494632</v>
      </c>
      <c r="M116" s="135"/>
      <c r="N116" s="135"/>
      <c r="O116" s="121"/>
      <c r="P116" s="185"/>
    </row>
    <row r="117" spans="1:16" x14ac:dyDescent="0.2">
      <c r="B117" s="166"/>
      <c r="C117" s="167"/>
      <c r="D117" s="152"/>
      <c r="E117" s="234"/>
      <c r="F117" s="159"/>
      <c r="H117" s="157"/>
      <c r="I117" s="247"/>
      <c r="J117" s="164"/>
      <c r="K117" s="151"/>
      <c r="L117" s="153"/>
      <c r="M117" s="135"/>
      <c r="N117" s="200"/>
      <c r="O117" s="283"/>
      <c r="P117" s="121"/>
    </row>
    <row r="118" spans="1:16" x14ac:dyDescent="0.2">
      <c r="B118" s="149" t="s">
        <v>316</v>
      </c>
      <c r="C118" s="121"/>
      <c r="D118" s="152"/>
      <c r="E118" s="187"/>
      <c r="F118" s="251">
        <f>F116</f>
        <v>1325119.33</v>
      </c>
      <c r="H118" s="157"/>
      <c r="I118" s="251">
        <f>I116</f>
        <v>1509849.77</v>
      </c>
      <c r="J118" s="164"/>
      <c r="K118" s="203">
        <f>K116</f>
        <v>184730.43999999994</v>
      </c>
      <c r="L118" s="273">
        <f>IFERROR(K118/F118, )</f>
        <v>0.13940664498494632</v>
      </c>
      <c r="M118" s="135"/>
      <c r="N118" s="135"/>
      <c r="O118" s="121"/>
      <c r="P118" s="121"/>
    </row>
    <row r="119" spans="1:16" x14ac:dyDescent="0.2">
      <c r="A119" s="121"/>
      <c r="B119" s="175"/>
      <c r="C119" s="255"/>
      <c r="D119" s="211"/>
      <c r="E119" s="267"/>
      <c r="F119" s="181"/>
      <c r="G119" s="211"/>
      <c r="H119" s="257"/>
      <c r="I119" s="264"/>
      <c r="J119" s="258"/>
      <c r="K119" s="182"/>
      <c r="L119" s="275"/>
      <c r="M119" s="135"/>
      <c r="N119" s="135"/>
      <c r="O119" s="167"/>
      <c r="P119" s="121"/>
    </row>
    <row r="120" spans="1:16" x14ac:dyDescent="0.2">
      <c r="A120" s="121"/>
      <c r="B120" s="121"/>
      <c r="C120" s="121"/>
      <c r="D120" s="152"/>
      <c r="E120" s="161"/>
      <c r="F120" s="159"/>
      <c r="H120" s="157"/>
      <c r="I120" s="247"/>
      <c r="J120" s="164"/>
      <c r="K120" s="151"/>
      <c r="L120" s="277"/>
      <c r="M120" s="135"/>
      <c r="N120" s="135"/>
      <c r="O120" s="121"/>
      <c r="P120" s="121"/>
    </row>
    <row r="121" spans="1:16" x14ac:dyDescent="0.2">
      <c r="A121" s="121"/>
      <c r="B121" s="141" t="s">
        <v>346</v>
      </c>
      <c r="C121" s="142"/>
      <c r="D121" s="145"/>
      <c r="E121" s="241"/>
      <c r="F121" s="260"/>
      <c r="G121" s="145"/>
      <c r="H121" s="243"/>
      <c r="I121" s="269"/>
      <c r="J121" s="244"/>
      <c r="K121" s="144"/>
      <c r="L121" s="245"/>
      <c r="M121" s="135"/>
      <c r="N121" s="135"/>
      <c r="O121" s="121"/>
      <c r="P121" s="121"/>
    </row>
    <row r="122" spans="1:16" x14ac:dyDescent="0.2">
      <c r="A122" s="121"/>
      <c r="B122" s="149"/>
      <c r="C122" s="121"/>
      <c r="D122" s="152"/>
      <c r="E122" s="234"/>
      <c r="F122" s="159"/>
      <c r="H122" s="157"/>
      <c r="I122" s="247"/>
      <c r="J122" s="164"/>
      <c r="K122" s="151"/>
      <c r="L122" s="193"/>
      <c r="M122" s="135"/>
      <c r="N122" s="135"/>
      <c r="O122" s="121"/>
      <c r="P122" s="121"/>
    </row>
    <row r="123" spans="1:16" x14ac:dyDescent="0.2">
      <c r="A123" s="121"/>
      <c r="B123" s="166" t="s">
        <v>310</v>
      </c>
      <c r="C123" s="167" t="s">
        <v>311</v>
      </c>
      <c r="D123" s="152">
        <v>120.00000000000001</v>
      </c>
      <c r="E123" s="157">
        <v>918.31</v>
      </c>
      <c r="F123" s="159">
        <f>ROUND(D123*E123,2)</f>
        <v>110197.2</v>
      </c>
      <c r="H123" s="158">
        <v>1082.81</v>
      </c>
      <c r="I123" s="247">
        <f>ROUND(D123*H123,2)</f>
        <v>129937.2</v>
      </c>
      <c r="J123" s="164"/>
      <c r="K123" s="151">
        <f>I123-F123</f>
        <v>19740</v>
      </c>
      <c r="L123" s="193">
        <f t="shared" ref="L123:L124" si="18">IFERROR(K123/F123, )</f>
        <v>0.179133408108373</v>
      </c>
      <c r="M123" s="135"/>
      <c r="N123" s="135"/>
      <c r="O123" s="121"/>
      <c r="P123" s="121"/>
    </row>
    <row r="124" spans="1:16" x14ac:dyDescent="0.2">
      <c r="A124" s="121"/>
      <c r="B124" s="149" t="s">
        <v>321</v>
      </c>
      <c r="C124" s="121" t="s">
        <v>108</v>
      </c>
      <c r="D124" s="152">
        <v>296082</v>
      </c>
      <c r="E124" s="157">
        <v>1.45</v>
      </c>
      <c r="F124" s="159">
        <f>ROUND(D124*E124,2)</f>
        <v>429318.9</v>
      </c>
      <c r="H124" s="158">
        <f>H105</f>
        <v>1.45</v>
      </c>
      <c r="I124" s="247">
        <f>ROUND(D124*H124,2)</f>
        <v>429318.9</v>
      </c>
      <c r="J124" s="164"/>
      <c r="K124" s="151">
        <f>I124-F124</f>
        <v>0</v>
      </c>
      <c r="L124" s="193">
        <f t="shared" si="18"/>
        <v>0</v>
      </c>
      <c r="M124" s="135"/>
      <c r="N124" s="135"/>
    </row>
    <row r="125" spans="1:16" x14ac:dyDescent="0.2">
      <c r="A125" s="121"/>
      <c r="B125" s="149" t="s">
        <v>335</v>
      </c>
      <c r="C125" s="121"/>
      <c r="D125" s="152"/>
      <c r="E125" s="157"/>
      <c r="F125" s="247">
        <v>19447.379999999997</v>
      </c>
      <c r="H125" s="158"/>
      <c r="I125" s="247">
        <f>F125</f>
        <v>19447.379999999997</v>
      </c>
      <c r="J125" s="164"/>
      <c r="K125" s="195"/>
      <c r="L125" s="193">
        <f>IFERROR(K125/F125, )</f>
        <v>0</v>
      </c>
      <c r="M125" s="135"/>
      <c r="N125" s="135"/>
    </row>
    <row r="126" spans="1:16" x14ac:dyDescent="0.2">
      <c r="A126" s="121"/>
      <c r="B126" s="190"/>
      <c r="C126" s="121"/>
      <c r="D126" s="152"/>
      <c r="E126" s="161"/>
      <c r="F126" s="159"/>
      <c r="H126" s="162"/>
      <c r="I126" s="247"/>
      <c r="J126" s="164"/>
      <c r="K126" s="195"/>
      <c r="L126" s="196"/>
      <c r="M126" s="135"/>
      <c r="N126" s="135"/>
    </row>
    <row r="127" spans="1:16" x14ac:dyDescent="0.2">
      <c r="A127" s="121"/>
      <c r="B127" s="149" t="s">
        <v>322</v>
      </c>
      <c r="C127" s="121"/>
      <c r="D127" s="152"/>
      <c r="E127" s="187"/>
      <c r="F127" s="159"/>
      <c r="H127" s="162"/>
      <c r="I127" s="247"/>
      <c r="J127" s="164"/>
      <c r="K127" s="195"/>
      <c r="L127" s="196"/>
      <c r="M127" s="135"/>
      <c r="N127" s="135"/>
    </row>
    <row r="128" spans="1:16" x14ac:dyDescent="0.2">
      <c r="A128" s="121"/>
      <c r="B128" s="149" t="s">
        <v>204</v>
      </c>
      <c r="C128" s="121" t="s">
        <v>223</v>
      </c>
      <c r="D128" s="152">
        <v>2998789.67</v>
      </c>
      <c r="E128" s="161">
        <v>0.17533000000000001</v>
      </c>
      <c r="F128" s="159">
        <f t="shared" ref="F128:F133" si="19">ROUND(D128*E128,2)</f>
        <v>525777.79</v>
      </c>
      <c r="H128" s="162">
        <f t="shared" ref="H128:H133" si="20">H110</f>
        <v>0.20754</v>
      </c>
      <c r="I128" s="247">
        <f t="shared" ref="I128:I133" si="21">ROUND(D128*H128,2)</f>
        <v>622368.81000000006</v>
      </c>
      <c r="J128" s="164"/>
      <c r="K128" s="151">
        <f t="shared" ref="K128:K133" si="22">I128-F128</f>
        <v>96591.020000000019</v>
      </c>
      <c r="L128" s="193">
        <f t="shared" ref="L128:L133" si="23">IFERROR(K128/F128, )</f>
        <v>0.18371072692134829</v>
      </c>
      <c r="M128" s="135"/>
      <c r="N128" s="135"/>
    </row>
    <row r="129" spans="1:15" x14ac:dyDescent="0.2">
      <c r="A129" s="121"/>
      <c r="B129" s="149" t="s">
        <v>205</v>
      </c>
      <c r="C129" s="121" t="s">
        <v>223</v>
      </c>
      <c r="D129" s="152">
        <v>3000000</v>
      </c>
      <c r="E129" s="161">
        <v>0.10595</v>
      </c>
      <c r="F129" s="159">
        <f t="shared" si="19"/>
        <v>317850</v>
      </c>
      <c r="H129" s="162">
        <f t="shared" si="20"/>
        <v>0.12540999999999999</v>
      </c>
      <c r="I129" s="247">
        <f t="shared" si="21"/>
        <v>376230</v>
      </c>
      <c r="J129" s="164"/>
      <c r="K129" s="151">
        <f t="shared" si="22"/>
        <v>58380</v>
      </c>
      <c r="L129" s="193">
        <f t="shared" si="23"/>
        <v>0.18367154318074563</v>
      </c>
      <c r="M129" s="135"/>
      <c r="N129" s="135"/>
    </row>
    <row r="130" spans="1:15" x14ac:dyDescent="0.2">
      <c r="A130" s="121"/>
      <c r="B130" s="149" t="s">
        <v>206</v>
      </c>
      <c r="C130" s="121" t="s">
        <v>223</v>
      </c>
      <c r="D130" s="152">
        <v>6000000</v>
      </c>
      <c r="E130" s="161">
        <v>6.7419999999999994E-2</v>
      </c>
      <c r="F130" s="159">
        <f t="shared" si="19"/>
        <v>404520</v>
      </c>
      <c r="H130" s="162">
        <f t="shared" si="20"/>
        <v>7.9810000000000006E-2</v>
      </c>
      <c r="I130" s="247">
        <f t="shared" si="21"/>
        <v>478860</v>
      </c>
      <c r="J130" s="164"/>
      <c r="K130" s="151">
        <f t="shared" si="22"/>
        <v>74340</v>
      </c>
      <c r="L130" s="193">
        <f t="shared" si="23"/>
        <v>0.18377336102046871</v>
      </c>
      <c r="M130" s="135"/>
      <c r="N130" s="135"/>
    </row>
    <row r="131" spans="1:15" x14ac:dyDescent="0.2">
      <c r="A131" s="121"/>
      <c r="B131" s="149" t="s">
        <v>209</v>
      </c>
      <c r="C131" s="121" t="s">
        <v>223</v>
      </c>
      <c r="D131" s="152">
        <v>11463691.02</v>
      </c>
      <c r="E131" s="161">
        <v>4.3229999999999998E-2</v>
      </c>
      <c r="F131" s="159">
        <f t="shared" si="19"/>
        <v>495575.36</v>
      </c>
      <c r="H131" s="162">
        <f t="shared" si="20"/>
        <v>5.117E-2</v>
      </c>
      <c r="I131" s="247">
        <f t="shared" si="21"/>
        <v>586597.06999999995</v>
      </c>
      <c r="J131" s="164"/>
      <c r="K131" s="151">
        <f t="shared" si="22"/>
        <v>91021.709999999963</v>
      </c>
      <c r="L131" s="193">
        <f t="shared" si="23"/>
        <v>0.18366875625131962</v>
      </c>
      <c r="M131" s="135"/>
      <c r="N131" s="135"/>
    </row>
    <row r="132" spans="1:15" x14ac:dyDescent="0.2">
      <c r="A132" s="121"/>
      <c r="B132" s="149" t="s">
        <v>210</v>
      </c>
      <c r="C132" s="121" t="s">
        <v>223</v>
      </c>
      <c r="D132" s="152">
        <v>25744602.149999999</v>
      </c>
      <c r="E132" s="161">
        <v>3.1109999999999999E-2</v>
      </c>
      <c r="F132" s="159">
        <f t="shared" si="19"/>
        <v>800914.57</v>
      </c>
      <c r="H132" s="162">
        <f t="shared" si="20"/>
        <v>3.6830000000000002E-2</v>
      </c>
      <c r="I132" s="247">
        <f t="shared" si="21"/>
        <v>948173.7</v>
      </c>
      <c r="J132" s="164"/>
      <c r="K132" s="151">
        <f t="shared" si="22"/>
        <v>147259.13</v>
      </c>
      <c r="L132" s="193">
        <f t="shared" si="23"/>
        <v>0.18386371720020028</v>
      </c>
      <c r="M132" s="135"/>
      <c r="N132" s="135"/>
    </row>
    <row r="133" spans="1:15" x14ac:dyDescent="0.2">
      <c r="A133" s="121"/>
      <c r="B133" s="149" t="s">
        <v>211</v>
      </c>
      <c r="C133" s="121" t="s">
        <v>223</v>
      </c>
      <c r="D133" s="152">
        <v>48293342.805479579</v>
      </c>
      <c r="E133" s="161">
        <v>2.3990000000000001E-2</v>
      </c>
      <c r="F133" s="159">
        <f t="shared" si="19"/>
        <v>1158557.29</v>
      </c>
      <c r="H133" s="162">
        <f t="shared" si="20"/>
        <v>2.4830000000000001E-2</v>
      </c>
      <c r="I133" s="247">
        <f t="shared" si="21"/>
        <v>1199123.7</v>
      </c>
      <c r="J133" s="164"/>
      <c r="K133" s="151">
        <f t="shared" si="22"/>
        <v>40566.409999999916</v>
      </c>
      <c r="L133" s="193">
        <f t="shared" si="23"/>
        <v>3.501459129397038E-2</v>
      </c>
      <c r="M133" s="135"/>
      <c r="N133" s="135"/>
    </row>
    <row r="134" spans="1:15" x14ac:dyDescent="0.2">
      <c r="A134" s="121"/>
      <c r="B134" s="166" t="s">
        <v>315</v>
      </c>
      <c r="C134" s="121"/>
      <c r="D134" s="198">
        <f>SUM(D128:D133)</f>
        <v>97500425.645479575</v>
      </c>
      <c r="E134" s="161"/>
      <c r="F134" s="251">
        <f>SUM(F123:F133)</f>
        <v>4262158.49</v>
      </c>
      <c r="H134" s="161"/>
      <c r="I134" s="251">
        <f>SUM(I123:I133)</f>
        <v>4790056.76</v>
      </c>
      <c r="J134" s="164"/>
      <c r="K134" s="251">
        <f>SUM(K123:K133)</f>
        <v>527898.2699999999</v>
      </c>
      <c r="L134" s="273">
        <f>IFERROR(K134/F134, )</f>
        <v>0.12385702484752037</v>
      </c>
      <c r="M134" s="135"/>
      <c r="N134" s="135"/>
    </row>
    <row r="135" spans="1:15" x14ac:dyDescent="0.2">
      <c r="A135" s="121"/>
      <c r="B135" s="149"/>
      <c r="C135" s="167"/>
      <c r="D135" s="152"/>
      <c r="E135" s="161"/>
      <c r="F135" s="159"/>
      <c r="H135" s="157"/>
      <c r="I135" s="247"/>
      <c r="J135" s="164"/>
      <c r="K135" s="151"/>
      <c r="L135" s="153"/>
      <c r="M135" s="135"/>
      <c r="N135" s="135"/>
    </row>
    <row r="136" spans="1:15" x14ac:dyDescent="0.2">
      <c r="A136" s="121"/>
      <c r="B136" s="149" t="s">
        <v>316</v>
      </c>
      <c r="C136" s="121"/>
      <c r="D136" s="152"/>
      <c r="E136" s="187"/>
      <c r="F136" s="251">
        <f>F134</f>
        <v>4262158.49</v>
      </c>
      <c r="H136" s="157"/>
      <c r="I136" s="251">
        <f>I134</f>
        <v>4790056.76</v>
      </c>
      <c r="J136" s="164"/>
      <c r="K136" s="203">
        <f>K134</f>
        <v>527898.2699999999</v>
      </c>
      <c r="L136" s="273">
        <f>IFERROR(K136/F136, )</f>
        <v>0.12385702484752037</v>
      </c>
      <c r="M136" s="135"/>
      <c r="N136" s="135"/>
      <c r="O136" s="212"/>
    </row>
    <row r="137" spans="1:15" s="121" customFormat="1" x14ac:dyDescent="0.2">
      <c r="B137" s="175"/>
      <c r="C137" s="255"/>
      <c r="D137" s="211"/>
      <c r="E137" s="267"/>
      <c r="F137" s="181"/>
      <c r="G137" s="211"/>
      <c r="H137" s="257"/>
      <c r="I137" s="264"/>
      <c r="J137" s="258"/>
      <c r="K137" s="182"/>
      <c r="L137" s="275"/>
      <c r="M137" s="135"/>
      <c r="N137" s="135"/>
    </row>
    <row r="138" spans="1:15" s="121" customFormat="1" x14ac:dyDescent="0.2">
      <c r="D138" s="152"/>
      <c r="E138" s="161"/>
      <c r="F138" s="159"/>
      <c r="G138" s="152"/>
      <c r="H138" s="157"/>
      <c r="I138" s="247"/>
      <c r="J138" s="164"/>
      <c r="K138" s="151"/>
      <c r="L138" s="277"/>
      <c r="M138" s="135"/>
      <c r="N138" s="135"/>
    </row>
    <row r="139" spans="1:15" x14ac:dyDescent="0.2">
      <c r="A139" s="121"/>
      <c r="B139" s="186" t="s">
        <v>347</v>
      </c>
      <c r="C139" s="284"/>
      <c r="D139" s="145"/>
      <c r="E139" s="58"/>
      <c r="F139" s="260"/>
      <c r="G139" s="145"/>
      <c r="H139" s="243"/>
      <c r="I139" s="269"/>
      <c r="J139" s="261"/>
      <c r="K139" s="260"/>
      <c r="L139" s="285"/>
      <c r="M139" s="135"/>
      <c r="N139" s="135"/>
    </row>
    <row r="140" spans="1:15" x14ac:dyDescent="0.2">
      <c r="A140" s="121"/>
      <c r="B140" s="190"/>
      <c r="C140" s="26"/>
      <c r="D140" s="152"/>
      <c r="E140" s="161"/>
      <c r="F140" s="159"/>
      <c r="H140" s="157"/>
      <c r="I140" s="247"/>
      <c r="J140" s="259"/>
      <c r="K140" s="159"/>
      <c r="L140" s="265"/>
      <c r="M140" s="135"/>
      <c r="N140" s="135"/>
    </row>
    <row r="141" spans="1:15" x14ac:dyDescent="0.2">
      <c r="A141" s="121"/>
      <c r="B141" s="155" t="s">
        <v>310</v>
      </c>
      <c r="C141" s="156" t="s">
        <v>311</v>
      </c>
      <c r="D141" s="152">
        <f>D123+D104</f>
        <v>181</v>
      </c>
      <c r="E141" s="157"/>
      <c r="F141" s="159">
        <f>F123+F104</f>
        <v>147193.70000000001</v>
      </c>
      <c r="H141" s="188"/>
      <c r="I141" s="159">
        <f>I123+I104</f>
        <v>173561.35</v>
      </c>
      <c r="J141" s="259"/>
      <c r="K141" s="247">
        <f>I141-F141</f>
        <v>26367.649999999994</v>
      </c>
      <c r="L141" s="265">
        <f t="shared" ref="L141:L144" si="24">IFERROR(K141/F141, )</f>
        <v>0.17913572387948665</v>
      </c>
      <c r="M141" s="135"/>
      <c r="N141" s="135"/>
    </row>
    <row r="142" spans="1:15" x14ac:dyDescent="0.2">
      <c r="A142" s="121"/>
      <c r="B142" s="190" t="s">
        <v>321</v>
      </c>
      <c r="C142" s="26" t="s">
        <v>108</v>
      </c>
      <c r="D142" s="152">
        <f>D124+D105</f>
        <v>296082</v>
      </c>
      <c r="E142" s="157"/>
      <c r="F142" s="159">
        <f>F124+F105</f>
        <v>429318.9</v>
      </c>
      <c r="H142" s="188"/>
      <c r="I142" s="159">
        <f>I124+I105</f>
        <v>429318.9</v>
      </c>
      <c r="J142" s="259"/>
      <c r="K142" s="247">
        <f>I142-F142</f>
        <v>0</v>
      </c>
      <c r="L142" s="265">
        <f t="shared" si="24"/>
        <v>0</v>
      </c>
      <c r="M142" s="135"/>
      <c r="N142" s="135"/>
    </row>
    <row r="143" spans="1:15" x14ac:dyDescent="0.2">
      <c r="A143" s="121"/>
      <c r="B143" s="190" t="s">
        <v>314</v>
      </c>
      <c r="C143" s="26"/>
      <c r="D143" s="152"/>
      <c r="E143" s="157"/>
      <c r="F143" s="159">
        <f>F106</f>
        <v>183938.01</v>
      </c>
      <c r="H143" s="188"/>
      <c r="I143" s="159">
        <f>I106</f>
        <v>203357.33</v>
      </c>
      <c r="J143" s="259"/>
      <c r="K143" s="247">
        <f>I143-F143</f>
        <v>19419.319999999978</v>
      </c>
      <c r="L143" s="265">
        <f t="shared" si="24"/>
        <v>0.10557535117401769</v>
      </c>
      <c r="M143" s="135"/>
      <c r="N143" s="135"/>
    </row>
    <row r="144" spans="1:15" x14ac:dyDescent="0.2">
      <c r="A144" s="121"/>
      <c r="B144" s="190" t="s">
        <v>335</v>
      </c>
      <c r="C144" s="26"/>
      <c r="D144" s="152"/>
      <c r="E144" s="157"/>
      <c r="F144" s="247">
        <f>F125+F107</f>
        <v>70534.149999999994</v>
      </c>
      <c r="H144" s="157"/>
      <c r="I144" s="247">
        <f>I125+I107</f>
        <v>70534.149999999994</v>
      </c>
      <c r="J144" s="259"/>
      <c r="K144" s="247">
        <f>I144-F144</f>
        <v>0</v>
      </c>
      <c r="L144" s="265">
        <f t="shared" si="24"/>
        <v>0</v>
      </c>
      <c r="M144" s="135"/>
      <c r="N144" s="135"/>
    </row>
    <row r="145" spans="1:16" x14ac:dyDescent="0.2">
      <c r="A145" s="121"/>
      <c r="B145" s="190"/>
      <c r="C145" s="26"/>
      <c r="D145" s="152"/>
      <c r="E145" s="157"/>
      <c r="F145" s="247"/>
      <c r="H145" s="161"/>
      <c r="I145" s="286"/>
      <c r="J145" s="259"/>
      <c r="K145" s="247"/>
      <c r="L145" s="287"/>
      <c r="M145" s="135"/>
      <c r="N145" s="135"/>
    </row>
    <row r="146" spans="1:16" ht="12" customHeight="1" x14ac:dyDescent="0.2">
      <c r="A146" s="121"/>
      <c r="B146" s="190" t="s">
        <v>322</v>
      </c>
      <c r="C146" s="26"/>
      <c r="D146" s="152"/>
      <c r="E146" s="157"/>
      <c r="F146" s="159"/>
      <c r="H146" s="161"/>
      <c r="I146" s="159"/>
      <c r="J146" s="259"/>
      <c r="K146" s="247"/>
      <c r="L146" s="287"/>
      <c r="M146" s="135"/>
      <c r="N146" s="135"/>
    </row>
    <row r="147" spans="1:16" x14ac:dyDescent="0.2">
      <c r="A147" s="121"/>
      <c r="B147" s="190" t="s">
        <v>204</v>
      </c>
      <c r="C147" s="26" t="s">
        <v>223</v>
      </c>
      <c r="D147" s="152">
        <f t="shared" ref="D147:D152" si="25">D128+D110</f>
        <v>4510982.67</v>
      </c>
      <c r="E147" s="161"/>
      <c r="F147" s="159">
        <f t="shared" ref="F147:F152" si="26">F128+F110</f>
        <v>790910.59000000008</v>
      </c>
      <c r="H147" s="189"/>
      <c r="I147" s="159">
        <f t="shared" ref="I147:I152" si="27">I128+I110</f>
        <v>936209.35000000009</v>
      </c>
      <c r="J147" s="259"/>
      <c r="K147" s="247">
        <f t="shared" ref="K147:K152" si="28">I147-F147</f>
        <v>145298.76</v>
      </c>
      <c r="L147" s="265">
        <f t="shared" ref="L147:L152" si="29">IFERROR(K147/F147, )</f>
        <v>0.18371072765633342</v>
      </c>
      <c r="M147" s="135"/>
      <c r="N147" s="135"/>
    </row>
    <row r="148" spans="1:16" x14ac:dyDescent="0.2">
      <c r="A148" s="121"/>
      <c r="B148" s="190" t="s">
        <v>205</v>
      </c>
      <c r="C148" s="26" t="s">
        <v>223</v>
      </c>
      <c r="D148" s="152">
        <f t="shared" si="25"/>
        <v>4398016.1150000002</v>
      </c>
      <c r="E148" s="161"/>
      <c r="F148" s="159">
        <f t="shared" si="26"/>
        <v>465969.81</v>
      </c>
      <c r="H148" s="189"/>
      <c r="I148" s="159">
        <f t="shared" si="27"/>
        <v>551555.19999999995</v>
      </c>
      <c r="J148" s="259"/>
      <c r="K148" s="247">
        <f t="shared" si="28"/>
        <v>85585.389999999956</v>
      </c>
      <c r="L148" s="265">
        <f t="shared" si="29"/>
        <v>0.18367153442837844</v>
      </c>
      <c r="M148" s="135"/>
      <c r="N148" s="135"/>
    </row>
    <row r="149" spans="1:16" x14ac:dyDescent="0.2">
      <c r="A149" s="121"/>
      <c r="B149" s="190" t="s">
        <v>206</v>
      </c>
      <c r="C149" s="26" t="s">
        <v>223</v>
      </c>
      <c r="D149" s="152">
        <f t="shared" si="25"/>
        <v>8316890.0959999999</v>
      </c>
      <c r="E149" s="161"/>
      <c r="F149" s="159">
        <f t="shared" si="26"/>
        <v>560724.73</v>
      </c>
      <c r="H149" s="189"/>
      <c r="I149" s="159">
        <f t="shared" si="27"/>
        <v>663771</v>
      </c>
      <c r="J149" s="259"/>
      <c r="K149" s="247">
        <f t="shared" si="28"/>
        <v>103046.27000000002</v>
      </c>
      <c r="L149" s="265">
        <f t="shared" si="29"/>
        <v>0.18377336416034304</v>
      </c>
      <c r="M149" s="135"/>
      <c r="N149" s="135"/>
    </row>
    <row r="150" spans="1:16" x14ac:dyDescent="0.2">
      <c r="A150" s="121"/>
      <c r="B150" s="190" t="s">
        <v>209</v>
      </c>
      <c r="C150" s="26" t="s">
        <v>223</v>
      </c>
      <c r="D150" s="152">
        <f t="shared" si="25"/>
        <v>14508947.897999998</v>
      </c>
      <c r="E150" s="161"/>
      <c r="F150" s="159">
        <f t="shared" si="26"/>
        <v>627221.81000000006</v>
      </c>
      <c r="H150" s="189"/>
      <c r="I150" s="159">
        <f t="shared" si="27"/>
        <v>742422.86</v>
      </c>
      <c r="J150" s="259"/>
      <c r="K150" s="247">
        <f t="shared" si="28"/>
        <v>115201.04999999993</v>
      </c>
      <c r="L150" s="265">
        <f t="shared" si="29"/>
        <v>0.18366875667158308</v>
      </c>
      <c r="M150" s="135"/>
      <c r="N150" s="135"/>
    </row>
    <row r="151" spans="1:16" x14ac:dyDescent="0.2">
      <c r="A151" s="121"/>
      <c r="B151" s="190" t="s">
        <v>210</v>
      </c>
      <c r="C151" s="26" t="s">
        <v>223</v>
      </c>
      <c r="D151" s="152">
        <f t="shared" si="25"/>
        <v>29536644.353</v>
      </c>
      <c r="E151" s="161"/>
      <c r="F151" s="159">
        <f t="shared" si="26"/>
        <v>918885</v>
      </c>
      <c r="H151" s="189"/>
      <c r="I151" s="159">
        <f t="shared" si="27"/>
        <v>1087834.6099999999</v>
      </c>
      <c r="J151" s="259"/>
      <c r="K151" s="247">
        <f t="shared" si="28"/>
        <v>168949.60999999987</v>
      </c>
      <c r="L151" s="265">
        <f t="shared" si="29"/>
        <v>0.18386371526360737</v>
      </c>
      <c r="M151" s="135"/>
      <c r="N151" s="135"/>
    </row>
    <row r="152" spans="1:16" x14ac:dyDescent="0.2">
      <c r="A152" s="121"/>
      <c r="B152" s="190" t="s">
        <v>211</v>
      </c>
      <c r="C152" s="26" t="s">
        <v>223</v>
      </c>
      <c r="D152" s="152">
        <f t="shared" si="25"/>
        <v>58048400.275834784</v>
      </c>
      <c r="E152" s="161"/>
      <c r="F152" s="159">
        <f t="shared" si="26"/>
        <v>1392581.12</v>
      </c>
      <c r="H152" s="189"/>
      <c r="I152" s="159">
        <f t="shared" si="27"/>
        <v>1441341.78</v>
      </c>
      <c r="J152" s="259"/>
      <c r="K152" s="247">
        <f t="shared" si="28"/>
        <v>48760.659999999916</v>
      </c>
      <c r="L152" s="265">
        <f t="shared" si="29"/>
        <v>3.5014592184044485E-2</v>
      </c>
      <c r="M152" s="135"/>
      <c r="N152" s="135"/>
    </row>
    <row r="153" spans="1:16" x14ac:dyDescent="0.2">
      <c r="A153" s="121"/>
      <c r="B153" s="166" t="s">
        <v>315</v>
      </c>
      <c r="C153" s="26" t="s">
        <v>223</v>
      </c>
      <c r="D153" s="198">
        <f>SUM(D147:D152)</f>
        <v>119319881.40783478</v>
      </c>
      <c r="E153" s="161"/>
      <c r="F153" s="169">
        <f>SUM(F141:F152)</f>
        <v>5587277.8200000003</v>
      </c>
      <c r="H153" s="157"/>
      <c r="I153" s="169">
        <f>SUM(I141:I152)</f>
        <v>6299906.5300000003</v>
      </c>
      <c r="J153" s="259"/>
      <c r="K153" s="169">
        <f>SUM(K141:K152)</f>
        <v>712628.70999999973</v>
      </c>
      <c r="L153" s="252">
        <f>IFERROR(K153/F153, )</f>
        <v>0.12754488553425819</v>
      </c>
      <c r="M153" s="135"/>
      <c r="N153" s="135"/>
      <c r="P153" s="185"/>
    </row>
    <row r="154" spans="1:16" x14ac:dyDescent="0.2">
      <c r="A154" s="121"/>
      <c r="B154" s="155"/>
      <c r="C154" s="156"/>
      <c r="D154" s="152"/>
      <c r="E154" s="161"/>
      <c r="F154" s="159"/>
      <c r="H154" s="157"/>
      <c r="I154" s="247"/>
      <c r="J154" s="259"/>
      <c r="K154" s="159"/>
      <c r="L154" s="199"/>
      <c r="M154" s="135"/>
      <c r="N154" s="135"/>
    </row>
    <row r="155" spans="1:16" x14ac:dyDescent="0.2">
      <c r="A155" s="121"/>
      <c r="B155" s="155" t="s">
        <v>316</v>
      </c>
      <c r="C155" s="156"/>
      <c r="D155" s="159"/>
      <c r="E155" s="157"/>
      <c r="F155" s="169">
        <f>F153</f>
        <v>5587277.8200000003</v>
      </c>
      <c r="G155" s="26"/>
      <c r="H155" s="157"/>
      <c r="I155" s="169">
        <f>I153</f>
        <v>6299906.5300000003</v>
      </c>
      <c r="J155" s="157"/>
      <c r="K155" s="169">
        <f>K153</f>
        <v>712628.70999999973</v>
      </c>
      <c r="L155" s="252">
        <f>IFERROR(K155/F155, )</f>
        <v>0.12754488553425819</v>
      </c>
      <c r="M155" s="135"/>
      <c r="N155" s="135"/>
    </row>
    <row r="156" spans="1:16" x14ac:dyDescent="0.2">
      <c r="A156" s="121"/>
      <c r="B156" s="175"/>
      <c r="C156" s="255"/>
      <c r="D156" s="211"/>
      <c r="E156" s="288"/>
      <c r="F156" s="264"/>
      <c r="G156" s="211"/>
      <c r="H156" s="257"/>
      <c r="I156" s="264"/>
      <c r="J156" s="258"/>
      <c r="K156" s="182"/>
      <c r="L156" s="183"/>
      <c r="M156" s="135"/>
      <c r="N156" s="135"/>
    </row>
    <row r="157" spans="1:16" x14ac:dyDescent="0.2">
      <c r="A157" s="121"/>
      <c r="B157" s="121"/>
      <c r="C157" s="121"/>
      <c r="D157" s="152"/>
      <c r="E157" s="161"/>
      <c r="F157" s="159"/>
      <c r="H157" s="157"/>
      <c r="I157" s="247"/>
      <c r="J157" s="164"/>
      <c r="K157" s="151"/>
      <c r="L157" s="277"/>
      <c r="M157" s="135"/>
      <c r="N157" s="135"/>
    </row>
    <row r="158" spans="1:16" x14ac:dyDescent="0.2">
      <c r="B158" s="213" t="s">
        <v>348</v>
      </c>
      <c r="C158" s="121"/>
      <c r="D158" s="152"/>
      <c r="E158" s="234"/>
      <c r="F158" s="157"/>
      <c r="H158" s="161"/>
      <c r="I158" s="157"/>
      <c r="J158" s="187"/>
      <c r="K158" s="187"/>
      <c r="L158" s="185"/>
      <c r="M158" s="135"/>
      <c r="N158" s="135"/>
      <c r="O158" s="171"/>
    </row>
    <row r="159" spans="1:16" x14ac:dyDescent="0.2">
      <c r="C159" s="121"/>
      <c r="D159" s="215" t="s">
        <v>223</v>
      </c>
      <c r="E159" s="234"/>
      <c r="F159" s="179" t="s">
        <v>227</v>
      </c>
      <c r="G159" s="54"/>
      <c r="H159" s="5"/>
      <c r="I159" s="179" t="s">
        <v>1</v>
      </c>
      <c r="J159" s="212"/>
      <c r="K159" s="216" t="s">
        <v>225</v>
      </c>
      <c r="L159" s="185"/>
      <c r="M159" s="135"/>
      <c r="N159" s="135"/>
      <c r="O159" s="171"/>
    </row>
    <row r="160" spans="1:16" x14ac:dyDescent="0.2">
      <c r="B160" s="213" t="s">
        <v>316</v>
      </c>
      <c r="C160" s="121"/>
      <c r="D160" s="150"/>
      <c r="E160" s="234"/>
      <c r="F160" s="289"/>
      <c r="G160" s="289"/>
      <c r="H160" s="289"/>
      <c r="I160" s="289"/>
      <c r="J160" s="290"/>
      <c r="K160" s="290"/>
      <c r="L160" s="185"/>
      <c r="M160" s="135"/>
      <c r="N160" s="135"/>
      <c r="O160" s="171"/>
    </row>
    <row r="161" spans="2:15" x14ac:dyDescent="0.2">
      <c r="B161" s="32" t="s">
        <v>349</v>
      </c>
      <c r="C161" s="121"/>
      <c r="D161" s="150">
        <f>D52</f>
        <v>88879730.522699013</v>
      </c>
      <c r="E161" s="234"/>
      <c r="F161" s="289">
        <f>F21+F36</f>
        <v>8603644.5934943184</v>
      </c>
      <c r="G161" s="289"/>
      <c r="H161" s="289"/>
      <c r="I161" s="289">
        <f>I21+I36</f>
        <v>9611990.370000001</v>
      </c>
      <c r="J161" s="290"/>
      <c r="K161" s="290">
        <f>I161-F161</f>
        <v>1008345.7765056826</v>
      </c>
      <c r="L161" s="277">
        <f t="shared" ref="L161:L163" si="30">IFERROR(K161/F161, )</f>
        <v>0.11719984078237582</v>
      </c>
      <c r="M161" s="135"/>
      <c r="N161" s="135"/>
      <c r="O161" s="171"/>
    </row>
    <row r="162" spans="2:15" x14ac:dyDescent="0.2">
      <c r="B162" s="32" t="s">
        <v>350</v>
      </c>
      <c r="C162" s="121"/>
      <c r="D162" s="150">
        <f>D96</f>
        <v>7491654.8276905464</v>
      </c>
      <c r="E162" s="234"/>
      <c r="F162" s="289">
        <f>F67+F81</f>
        <v>1496082.9500000002</v>
      </c>
      <c r="G162" s="289"/>
      <c r="H162" s="289"/>
      <c r="I162" s="289">
        <f>I67+I81</f>
        <v>1560031.02</v>
      </c>
      <c r="J162" s="290"/>
      <c r="K162" s="290">
        <f>I162-F162</f>
        <v>63948.069999999832</v>
      </c>
      <c r="L162" s="277">
        <f t="shared" si="30"/>
        <v>4.2743666051404318E-2</v>
      </c>
      <c r="M162" s="135"/>
      <c r="N162" s="135"/>
      <c r="O162" s="171"/>
    </row>
    <row r="163" spans="2:15" x14ac:dyDescent="0.2">
      <c r="B163" s="32" t="s">
        <v>351</v>
      </c>
      <c r="C163" s="121"/>
      <c r="D163" s="150">
        <f>D153</f>
        <v>119319881.40783478</v>
      </c>
      <c r="E163" s="234"/>
      <c r="F163" s="289">
        <f>F116+F134</f>
        <v>5587277.8200000003</v>
      </c>
      <c r="G163" s="289"/>
      <c r="H163" s="289"/>
      <c r="I163" s="289">
        <f>I116+I134</f>
        <v>6299906.5299999993</v>
      </c>
      <c r="J163" s="290"/>
      <c r="K163" s="290">
        <f>I163-F163</f>
        <v>712628.70999999903</v>
      </c>
      <c r="L163" s="277">
        <f t="shared" si="30"/>
        <v>0.12754488553425808</v>
      </c>
      <c r="M163" s="135"/>
      <c r="N163" s="135"/>
      <c r="O163" s="171"/>
    </row>
    <row r="164" spans="2:15" x14ac:dyDescent="0.2">
      <c r="B164" s="32" t="s">
        <v>16</v>
      </c>
      <c r="C164" s="121"/>
      <c r="D164" s="198">
        <f>SUM(D161:D163)</f>
        <v>215691266.75822434</v>
      </c>
      <c r="E164" s="234"/>
      <c r="F164" s="291">
        <f>SUM(F161:F163)</f>
        <v>15687005.363494318</v>
      </c>
      <c r="G164" s="289"/>
      <c r="H164" s="289"/>
      <c r="I164" s="291">
        <f>SUM(I161:I163)</f>
        <v>17471927.920000002</v>
      </c>
      <c r="J164" s="290"/>
      <c r="K164" s="292">
        <f>SUM(K161:K163)</f>
        <v>1784922.5565056815</v>
      </c>
      <c r="L164" s="277">
        <f>IFERROR(K164/F164, )</f>
        <v>0.11378351158465376</v>
      </c>
      <c r="M164" s="135"/>
      <c r="N164" s="135"/>
      <c r="O164" s="171"/>
    </row>
    <row r="165" spans="2:15" x14ac:dyDescent="0.2">
      <c r="C165" s="121"/>
      <c r="D165" s="150"/>
      <c r="E165" s="234"/>
      <c r="F165" s="289"/>
      <c r="G165" s="289"/>
      <c r="H165" s="289"/>
      <c r="I165" s="289"/>
      <c r="J165" s="290"/>
      <c r="K165" s="290"/>
      <c r="L165" s="185"/>
      <c r="M165" s="135"/>
      <c r="N165" s="135"/>
      <c r="O165" s="171"/>
    </row>
    <row r="166" spans="2:15" x14ac:dyDescent="0.2">
      <c r="B166" s="213" t="s">
        <v>352</v>
      </c>
      <c r="E166" s="221"/>
      <c r="F166" s="293"/>
      <c r="G166" s="294"/>
      <c r="H166" s="293"/>
      <c r="I166" s="293"/>
      <c r="J166" s="295"/>
      <c r="K166" s="295"/>
      <c r="L166" s="296"/>
      <c r="O166" s="212"/>
    </row>
    <row r="167" spans="2:15" x14ac:dyDescent="0.2">
      <c r="B167" s="105" t="s">
        <v>16</v>
      </c>
      <c r="D167" s="221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152"/>
      <c r="F167" s="293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289"/>
      <c r="H167" s="293"/>
      <c r="I167" s="297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565497397.25807917</v>
      </c>
      <c r="J167" s="295"/>
      <c r="K167" s="295">
        <f>I167-F167</f>
        <v>46559075.37602067</v>
      </c>
      <c r="L167" s="296">
        <f t="shared" ref="L167:L168" si="31">IFERROR(K167/F167, )</f>
        <v>8.971986344574176E-2</v>
      </c>
      <c r="O167" s="212"/>
    </row>
    <row r="168" spans="2:15" x14ac:dyDescent="0.2">
      <c r="B168" s="105" t="s">
        <v>353</v>
      </c>
      <c r="D168" s="54">
        <v>32154478.538398605</v>
      </c>
      <c r="E168" s="152"/>
      <c r="F168" s="293">
        <v>1679324.4523564125</v>
      </c>
      <c r="G168" s="289"/>
      <c r="H168" s="293"/>
      <c r="I168" s="298">
        <v>1699064.4523564125</v>
      </c>
      <c r="J168" s="295"/>
      <c r="K168" s="299">
        <f>I168-F168</f>
        <v>19740</v>
      </c>
      <c r="L168" s="296">
        <f t="shared" si="31"/>
        <v>1.1754726713054773E-2</v>
      </c>
      <c r="O168" s="212"/>
    </row>
    <row r="169" spans="2:15" x14ac:dyDescent="0.2">
      <c r="B169" s="105" t="s">
        <v>354</v>
      </c>
      <c r="D169" s="198">
        <f>SUM(D167:D168)</f>
        <v>1172906987.0608532</v>
      </c>
      <c r="E169" s="152"/>
      <c r="F169" s="291">
        <f>SUM(F167:F168)</f>
        <v>520617646.3344149</v>
      </c>
      <c r="G169" s="289"/>
      <c r="H169" s="293"/>
      <c r="I169" s="291">
        <f>SUM(I167:I168)</f>
        <v>567196461.71043563</v>
      </c>
      <c r="J169" s="295"/>
      <c r="K169" s="292">
        <f>SUM(K167:K168)</f>
        <v>46578815.37602067</v>
      </c>
      <c r="L169" s="296">
        <f>IFERROR(K169/F169, )</f>
        <v>8.9468376079786416E-2</v>
      </c>
      <c r="O169" s="212"/>
    </row>
    <row r="170" spans="2:15" x14ac:dyDescent="0.2">
      <c r="B170" s="300"/>
      <c r="C170" s="5"/>
      <c r="E170" s="152"/>
      <c r="F170" s="301"/>
      <c r="G170" s="289"/>
      <c r="H170" s="293"/>
      <c r="I170" s="302"/>
      <c r="J170" s="295"/>
      <c r="K170" s="302"/>
      <c r="L170" s="296"/>
    </row>
    <row r="171" spans="2:15" x14ac:dyDescent="0.2">
      <c r="B171" s="32" t="s">
        <v>355</v>
      </c>
      <c r="E171" s="152"/>
      <c r="F171" s="290"/>
      <c r="G171" s="289"/>
      <c r="H171" s="293"/>
      <c r="I171" s="290"/>
      <c r="J171" s="295"/>
      <c r="K171" s="290"/>
      <c r="L171" s="296"/>
    </row>
    <row r="172" spans="2:15" ht="13.5" thickBot="1" x14ac:dyDescent="0.25">
      <c r="F172" s="290"/>
      <c r="G172" s="289"/>
      <c r="H172" s="293"/>
      <c r="I172" s="290"/>
      <c r="J172" s="295"/>
      <c r="K172" s="290"/>
      <c r="L172" s="296"/>
    </row>
    <row r="173" spans="2:15" x14ac:dyDescent="0.2">
      <c r="B173" s="304" t="s">
        <v>74</v>
      </c>
      <c r="C173" s="305" t="s">
        <v>331</v>
      </c>
      <c r="D173" s="306">
        <v>15675792.294814982</v>
      </c>
      <c r="E173" s="305" t="s">
        <v>332</v>
      </c>
      <c r="F173" s="307">
        <f>D173-F164</f>
        <v>-11213.068679336458</v>
      </c>
      <c r="G173" s="289"/>
      <c r="H173" s="293" t="s">
        <v>74</v>
      </c>
      <c r="I173" s="295">
        <v>567193801.86914253</v>
      </c>
      <c r="J173" s="295"/>
      <c r="K173" s="295">
        <v>44570424.507699192</v>
      </c>
      <c r="L173" s="296"/>
    </row>
    <row r="174" spans="2:15" ht="13.5" thickBot="1" x14ac:dyDescent="0.25">
      <c r="B174" s="308" t="s">
        <v>74</v>
      </c>
      <c r="C174" s="309" t="s">
        <v>331</v>
      </c>
      <c r="D174" s="310">
        <v>522623377.36144328</v>
      </c>
      <c r="E174" s="309" t="s">
        <v>332</v>
      </c>
      <c r="F174" s="311">
        <f>D174-F169</f>
        <v>2005731.0270283818</v>
      </c>
      <c r="H174" s="300" t="s">
        <v>332</v>
      </c>
      <c r="I174" s="212">
        <f>I173-I169</f>
        <v>-2659.8412930965424</v>
      </c>
      <c r="K174" s="212">
        <f>K173-K169</f>
        <v>-2008390.8683214784</v>
      </c>
      <c r="L174" s="296"/>
    </row>
    <row r="175" spans="2:15" x14ac:dyDescent="0.2">
      <c r="L175" s="296"/>
    </row>
    <row r="176" spans="2:15" x14ac:dyDescent="0.2">
      <c r="B176" s="27"/>
      <c r="D176" s="303"/>
      <c r="L176" s="296"/>
    </row>
    <row r="177" spans="12:12" x14ac:dyDescent="0.2">
      <c r="L177" s="296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70" zoomScaleNormal="70" zoomScaleSheetLayoutView="100" workbookViewId="0">
      <pane ySplit="4" topLeftCell="A5" activePane="bottomLeft" state="frozen"/>
      <selection pane="bottomLeft" sqref="A1:B1"/>
    </sheetView>
  </sheetViews>
  <sheetFormatPr defaultColWidth="8.7109375" defaultRowHeight="15" x14ac:dyDescent="0.25"/>
  <cols>
    <col min="2" max="2" width="52.28515625" style="24" customWidth="1"/>
    <col min="3" max="3" width="53.7109375" bestFit="1" customWidth="1"/>
    <col min="4" max="4" width="16.42578125" bestFit="1" customWidth="1"/>
    <col min="5" max="5" width="20.5703125" bestFit="1" customWidth="1"/>
    <col min="6" max="6" width="16.42578125" bestFit="1" customWidth="1"/>
    <col min="7" max="7" width="14.85546875" bestFit="1" customWidth="1"/>
    <col min="8" max="8" width="13.5703125" customWidth="1"/>
    <col min="9" max="9" width="11.85546875" customWidth="1"/>
    <col min="10" max="10" width="13.5703125" customWidth="1"/>
    <col min="11" max="14" width="15.140625" customWidth="1"/>
    <col min="15" max="15" width="13.85546875" customWidth="1"/>
  </cols>
  <sheetData>
    <row r="1" spans="1:15" ht="15.75" x14ac:dyDescent="0.25">
      <c r="A1" s="404" t="s">
        <v>220</v>
      </c>
      <c r="B1" s="404"/>
      <c r="C1" s="15" t="s">
        <v>221</v>
      </c>
    </row>
    <row r="2" spans="1:15" ht="26.25" x14ac:dyDescent="0.4">
      <c r="B2" s="16" t="s">
        <v>77</v>
      </c>
      <c r="C2" s="16"/>
      <c r="D2" s="16"/>
    </row>
    <row r="3" spans="1:15" x14ac:dyDescent="0.25">
      <c r="A3" s="2" t="s">
        <v>25</v>
      </c>
      <c r="B3" s="17" t="s">
        <v>26</v>
      </c>
      <c r="C3" s="2" t="s">
        <v>27</v>
      </c>
      <c r="D3" s="2" t="s">
        <v>28</v>
      </c>
      <c r="E3" s="2" t="s">
        <v>78</v>
      </c>
      <c r="F3" s="2" t="s">
        <v>79</v>
      </c>
      <c r="G3" s="2" t="s">
        <v>80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2" t="s">
        <v>34</v>
      </c>
      <c r="N3" s="2" t="s">
        <v>35</v>
      </c>
      <c r="O3" s="2" t="s">
        <v>36</v>
      </c>
    </row>
    <row r="4" spans="1:15" ht="47.25" x14ac:dyDescent="0.25">
      <c r="A4" t="s">
        <v>66</v>
      </c>
      <c r="B4" s="18" t="s">
        <v>81</v>
      </c>
      <c r="C4" s="19" t="s">
        <v>67</v>
      </c>
      <c r="D4" s="19" t="s">
        <v>82</v>
      </c>
      <c r="E4" s="19" t="s">
        <v>83</v>
      </c>
      <c r="F4" s="19" t="s">
        <v>84</v>
      </c>
      <c r="G4" s="19" t="s">
        <v>24</v>
      </c>
      <c r="H4" s="20" t="s">
        <v>68</v>
      </c>
      <c r="I4" s="20" t="s">
        <v>69</v>
      </c>
      <c r="J4" s="20" t="s">
        <v>70</v>
      </c>
      <c r="K4" s="20" t="s">
        <v>71</v>
      </c>
      <c r="L4" s="20" t="s">
        <v>72</v>
      </c>
      <c r="M4" s="20" t="s">
        <v>73</v>
      </c>
      <c r="N4" s="20" t="s">
        <v>15</v>
      </c>
      <c r="O4" s="21" t="s">
        <v>23</v>
      </c>
    </row>
    <row r="5" spans="1:15" ht="15.75" x14ac:dyDescent="0.25">
      <c r="A5" s="1">
        <v>1</v>
      </c>
      <c r="B5" s="18" t="s">
        <v>85</v>
      </c>
      <c r="C5" s="19" t="s">
        <v>86</v>
      </c>
      <c r="D5" s="19" t="s">
        <v>87</v>
      </c>
      <c r="E5" s="19" t="s">
        <v>88</v>
      </c>
      <c r="F5" s="19" t="s">
        <v>88</v>
      </c>
      <c r="G5" s="19" t="s">
        <v>89</v>
      </c>
      <c r="H5" s="22">
        <v>0.85059699642664521</v>
      </c>
      <c r="I5" s="22">
        <v>6.9808737897317771E-2</v>
      </c>
      <c r="J5" s="22">
        <v>1.0386814387073409E-2</v>
      </c>
      <c r="K5" s="22">
        <v>2.2529823774558758E-2</v>
      </c>
      <c r="L5" s="22">
        <v>1.2722339240618277E-3</v>
      </c>
      <c r="M5" s="22">
        <v>3.5870331537651567E-2</v>
      </c>
      <c r="N5" s="22">
        <v>9.5350620526913205E-3</v>
      </c>
      <c r="O5" s="23">
        <v>1</v>
      </c>
    </row>
    <row r="6" spans="1:15" ht="15.75" x14ac:dyDescent="0.25">
      <c r="A6" s="1">
        <f t="shared" ref="A6:A47" si="0">A5+1</f>
        <v>2</v>
      </c>
      <c r="B6" s="18" t="s">
        <v>90</v>
      </c>
      <c r="C6" s="19" t="s">
        <v>91</v>
      </c>
      <c r="D6" s="19" t="s">
        <v>92</v>
      </c>
      <c r="E6" s="19" t="s">
        <v>93</v>
      </c>
      <c r="F6" s="19" t="s">
        <v>93</v>
      </c>
      <c r="G6" s="19" t="s">
        <v>94</v>
      </c>
      <c r="H6" s="22">
        <v>0.65014178754557572</v>
      </c>
      <c r="I6" s="22">
        <v>0.21747038294943719</v>
      </c>
      <c r="J6" s="22">
        <v>6.366689165398895E-2</v>
      </c>
      <c r="K6" s="22">
        <v>2.9448048442565034E-2</v>
      </c>
      <c r="L6" s="22">
        <v>2.5954949427723834E-3</v>
      </c>
      <c r="M6" s="22">
        <v>3.5408503693145223E-2</v>
      </c>
      <c r="N6" s="22">
        <v>1.2688907725154248E-3</v>
      </c>
      <c r="O6" s="23">
        <v>0.99999999999999989</v>
      </c>
    </row>
    <row r="7" spans="1:15" ht="15.75" x14ac:dyDescent="0.25">
      <c r="A7" s="1">
        <f t="shared" si="0"/>
        <v>3</v>
      </c>
      <c r="B7" s="18" t="s">
        <v>95</v>
      </c>
      <c r="C7" s="19" t="s">
        <v>96</v>
      </c>
      <c r="D7" s="19" t="s">
        <v>97</v>
      </c>
      <c r="E7" s="19" t="s">
        <v>2</v>
      </c>
      <c r="F7" s="19" t="s">
        <v>2</v>
      </c>
      <c r="G7" s="19" t="s">
        <v>89</v>
      </c>
      <c r="H7" s="22">
        <v>0</v>
      </c>
      <c r="I7" s="22">
        <v>0.84091767359253455</v>
      </c>
      <c r="J7" s="22">
        <v>0.12520819939782277</v>
      </c>
      <c r="K7" s="22">
        <v>1.5176027358349983E-2</v>
      </c>
      <c r="L7" s="22">
        <v>8.6600101552172272E-3</v>
      </c>
      <c r="M7" s="22">
        <v>1.0038089496075491E-2</v>
      </c>
      <c r="N7" s="22">
        <v>0</v>
      </c>
      <c r="O7" s="23">
        <v>1</v>
      </c>
    </row>
    <row r="8" spans="1:15" ht="15.75" x14ac:dyDescent="0.25">
      <c r="A8" s="1">
        <f t="shared" si="0"/>
        <v>4</v>
      </c>
      <c r="B8" s="18" t="s">
        <v>98</v>
      </c>
      <c r="C8" s="19" t="s">
        <v>99</v>
      </c>
      <c r="D8" s="19" t="s">
        <v>100</v>
      </c>
      <c r="E8" s="19" t="s">
        <v>101</v>
      </c>
      <c r="F8" s="19" t="s">
        <v>102</v>
      </c>
      <c r="G8" s="19" t="s">
        <v>89</v>
      </c>
      <c r="H8" s="22">
        <v>0.52932149025697683</v>
      </c>
      <c r="I8" s="22">
        <v>0.1894471370080287</v>
      </c>
      <c r="J8" s="22">
        <v>6.9922421530184131E-2</v>
      </c>
      <c r="K8" s="22">
        <v>7.5777305023495181E-2</v>
      </c>
      <c r="L8" s="22">
        <v>6.3872539854704273E-3</v>
      </c>
      <c r="M8" s="22">
        <v>0.10173004571047388</v>
      </c>
      <c r="N8" s="22">
        <v>2.7414346485370843E-2</v>
      </c>
      <c r="O8" s="23">
        <v>1</v>
      </c>
    </row>
    <row r="9" spans="1:15" ht="15.75" x14ac:dyDescent="0.25">
      <c r="A9" s="1">
        <f t="shared" si="0"/>
        <v>5</v>
      </c>
      <c r="B9" s="18" t="s">
        <v>98</v>
      </c>
      <c r="C9" s="19" t="s">
        <v>103</v>
      </c>
      <c r="D9" s="19" t="s">
        <v>104</v>
      </c>
      <c r="E9" s="19" t="s">
        <v>101</v>
      </c>
      <c r="F9" s="19" t="s">
        <v>102</v>
      </c>
      <c r="G9" s="19" t="s">
        <v>89</v>
      </c>
      <c r="H9" s="22">
        <v>0.65138482832816846</v>
      </c>
      <c r="I9" s="22">
        <v>0.23309551534210171</v>
      </c>
      <c r="J9" s="22">
        <v>6.5593311020792661E-2</v>
      </c>
      <c r="K9" s="22">
        <v>2.0976411345830386E-2</v>
      </c>
      <c r="L9" s="22">
        <v>6.0571582734398376E-3</v>
      </c>
      <c r="M9" s="22">
        <v>2.2892775689666876E-2</v>
      </c>
      <c r="N9" s="22">
        <v>0</v>
      </c>
      <c r="O9" s="23">
        <v>1</v>
      </c>
    </row>
    <row r="10" spans="1:15" ht="15.75" x14ac:dyDescent="0.25">
      <c r="A10" s="1">
        <f t="shared" si="0"/>
        <v>6</v>
      </c>
      <c r="B10" s="18" t="s">
        <v>105</v>
      </c>
      <c r="C10" s="19" t="s">
        <v>106</v>
      </c>
      <c r="D10" s="19" t="s">
        <v>107</v>
      </c>
      <c r="E10" s="19"/>
      <c r="F10" s="19" t="s">
        <v>108</v>
      </c>
      <c r="G10" s="19" t="s">
        <v>89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  <c r="O10" s="23">
        <v>1</v>
      </c>
    </row>
    <row r="11" spans="1:15" ht="15.75" x14ac:dyDescent="0.25">
      <c r="A11" s="1">
        <f t="shared" si="0"/>
        <v>7</v>
      </c>
      <c r="B11" s="18" t="s">
        <v>109</v>
      </c>
      <c r="C11" s="19" t="s">
        <v>110</v>
      </c>
      <c r="D11" s="19" t="s">
        <v>111</v>
      </c>
      <c r="E11" s="19" t="s">
        <v>88</v>
      </c>
      <c r="F11" s="19" t="s">
        <v>88</v>
      </c>
      <c r="G11" s="19" t="s">
        <v>89</v>
      </c>
      <c r="H11" s="22">
        <v>0.93101273173408494</v>
      </c>
      <c r="I11" s="22">
        <v>6.7091129253524728E-2</v>
      </c>
      <c r="J11" s="22">
        <v>1.5788005013500283E-3</v>
      </c>
      <c r="K11" s="22">
        <v>1.4264156590819809E-4</v>
      </c>
      <c r="L11" s="22">
        <v>1.4546711605255446E-4</v>
      </c>
      <c r="M11" s="22">
        <v>1.7537897447729272E-5</v>
      </c>
      <c r="N11" s="22">
        <v>1.1691931631819514E-5</v>
      </c>
      <c r="O11" s="23">
        <v>1</v>
      </c>
    </row>
    <row r="12" spans="1:15" ht="15.75" x14ac:dyDescent="0.25">
      <c r="A12" s="1">
        <f t="shared" si="0"/>
        <v>8</v>
      </c>
      <c r="B12" s="18" t="s">
        <v>112</v>
      </c>
      <c r="C12" s="19" t="s">
        <v>113</v>
      </c>
      <c r="D12" s="19" t="s">
        <v>114</v>
      </c>
      <c r="E12" s="19" t="s">
        <v>88</v>
      </c>
      <c r="F12" s="19" t="s">
        <v>88</v>
      </c>
      <c r="G12" s="19" t="s">
        <v>89</v>
      </c>
      <c r="H12" s="22">
        <v>0.83141728974365381</v>
      </c>
      <c r="I12" s="22">
        <v>0.14952319102492775</v>
      </c>
      <c r="J12" s="22">
        <v>1.4479754590337146E-2</v>
      </c>
      <c r="K12" s="22">
        <v>0</v>
      </c>
      <c r="L12" s="22">
        <v>4.5797646410813348E-3</v>
      </c>
      <c r="M12" s="22">
        <v>0</v>
      </c>
      <c r="N12" s="22">
        <v>0</v>
      </c>
      <c r="O12" s="23">
        <v>1</v>
      </c>
    </row>
    <row r="13" spans="1:15" ht="15.75" x14ac:dyDescent="0.25">
      <c r="A13" s="1">
        <f t="shared" si="0"/>
        <v>9</v>
      </c>
      <c r="B13" s="18" t="s">
        <v>85</v>
      </c>
      <c r="C13" s="19" t="s">
        <v>115</v>
      </c>
      <c r="D13" s="19" t="s">
        <v>116</v>
      </c>
      <c r="E13" s="19" t="s">
        <v>93</v>
      </c>
      <c r="F13" s="19" t="s">
        <v>93</v>
      </c>
      <c r="G13" s="19" t="s">
        <v>94</v>
      </c>
      <c r="H13" s="22">
        <v>0.87329674789877276</v>
      </c>
      <c r="I13" s="22">
        <v>8.3238240590430931E-2</v>
      </c>
      <c r="J13" s="22">
        <v>6.9167733782767851E-3</v>
      </c>
      <c r="K13" s="22">
        <v>1.1913164547127051E-2</v>
      </c>
      <c r="L13" s="22">
        <v>7.259454869678574E-4</v>
      </c>
      <c r="M13" s="22">
        <v>1.8886097314686087E-2</v>
      </c>
      <c r="N13" s="22">
        <v>5.0230307837385267E-3</v>
      </c>
      <c r="O13" s="23">
        <v>1</v>
      </c>
    </row>
    <row r="14" spans="1:15" ht="15.75" x14ac:dyDescent="0.25">
      <c r="A14" s="1">
        <f t="shared" si="0"/>
        <v>10</v>
      </c>
      <c r="B14" s="18" t="s">
        <v>85</v>
      </c>
      <c r="C14" s="19" t="s">
        <v>117</v>
      </c>
      <c r="D14" s="19" t="s">
        <v>118</v>
      </c>
      <c r="E14" s="19" t="s">
        <v>88</v>
      </c>
      <c r="F14" s="19" t="s">
        <v>88</v>
      </c>
      <c r="G14" s="19" t="s">
        <v>89</v>
      </c>
      <c r="H14" s="22">
        <v>0.93125372289498565</v>
      </c>
      <c r="I14" s="22">
        <v>6.7106156693726202E-2</v>
      </c>
      <c r="J14" s="22">
        <v>1.4626494225809372E-3</v>
      </c>
      <c r="K14" s="22">
        <v>3.4207752353805232E-5</v>
      </c>
      <c r="L14" s="22">
        <v>1.3741575731870476E-4</v>
      </c>
      <c r="M14" s="22">
        <v>5.8474790348385011E-6</v>
      </c>
      <c r="N14" s="22">
        <v>0</v>
      </c>
      <c r="O14" s="23">
        <v>1.0000000000000002</v>
      </c>
    </row>
    <row r="15" spans="1:15" ht="15.75" x14ac:dyDescent="0.25">
      <c r="A15" s="1">
        <f t="shared" si="0"/>
        <v>11</v>
      </c>
      <c r="B15" s="18" t="s">
        <v>112</v>
      </c>
      <c r="C15" s="19" t="s">
        <v>119</v>
      </c>
      <c r="D15" s="19" t="s">
        <v>120</v>
      </c>
      <c r="E15" s="19" t="s">
        <v>88</v>
      </c>
      <c r="F15" s="19" t="s">
        <v>88</v>
      </c>
      <c r="G15" s="19" t="s">
        <v>89</v>
      </c>
      <c r="H15" s="22">
        <v>0.93130827171435027</v>
      </c>
      <c r="I15" s="22">
        <v>6.7112426611057777E-2</v>
      </c>
      <c r="J15" s="22">
        <v>1.5793016745919268E-3</v>
      </c>
      <c r="K15" s="22">
        <v>0</v>
      </c>
      <c r="L15" s="22">
        <v>0</v>
      </c>
      <c r="M15" s="22">
        <v>0</v>
      </c>
      <c r="N15" s="22">
        <v>0</v>
      </c>
      <c r="O15" s="23">
        <v>1</v>
      </c>
    </row>
    <row r="16" spans="1:15" ht="15.75" x14ac:dyDescent="0.25">
      <c r="A16" s="1">
        <f t="shared" si="0"/>
        <v>12</v>
      </c>
      <c r="B16" s="18" t="s">
        <v>105</v>
      </c>
      <c r="C16" s="19" t="s">
        <v>121</v>
      </c>
      <c r="D16" s="19" t="s">
        <v>122</v>
      </c>
      <c r="E16" s="19" t="s">
        <v>88</v>
      </c>
      <c r="F16" s="19" t="s">
        <v>88</v>
      </c>
      <c r="G16" s="19" t="s">
        <v>89</v>
      </c>
      <c r="H16" s="22">
        <v>0</v>
      </c>
      <c r="I16" s="22">
        <v>0</v>
      </c>
      <c r="J16" s="22">
        <v>0</v>
      </c>
      <c r="K16" s="22">
        <v>0.77613135310596881</v>
      </c>
      <c r="L16" s="22">
        <v>0</v>
      </c>
      <c r="M16" s="22">
        <v>6.9036397527503665E-2</v>
      </c>
      <c r="N16" s="22">
        <v>0.15483224936652754</v>
      </c>
      <c r="O16" s="23">
        <v>1</v>
      </c>
    </row>
    <row r="17" spans="1:15" ht="15.75" x14ac:dyDescent="0.25">
      <c r="A17" s="1">
        <f t="shared" si="0"/>
        <v>13</v>
      </c>
      <c r="B17" s="18" t="s">
        <v>123</v>
      </c>
      <c r="C17" s="19" t="s">
        <v>124</v>
      </c>
      <c r="D17" s="19" t="s">
        <v>125</v>
      </c>
      <c r="E17" s="19" t="s">
        <v>93</v>
      </c>
      <c r="F17" s="19" t="s">
        <v>93</v>
      </c>
      <c r="G17" s="19" t="s">
        <v>94</v>
      </c>
      <c r="H17" s="22">
        <v>0.63471466903225437</v>
      </c>
      <c r="I17" s="22">
        <v>0.26251055007076357</v>
      </c>
      <c r="J17" s="22">
        <v>5.0555797773375474E-2</v>
      </c>
      <c r="K17" s="22">
        <v>2.2716985617410534E-2</v>
      </c>
      <c r="L17" s="22">
        <v>2.3299847258398069E-3</v>
      </c>
      <c r="M17" s="22">
        <v>2.6037654919808421E-2</v>
      </c>
      <c r="N17" s="22">
        <v>1.1343578605476701E-3</v>
      </c>
      <c r="O17" s="23">
        <v>0.99999999999999989</v>
      </c>
    </row>
    <row r="18" spans="1:15" ht="15.75" x14ac:dyDescent="0.25">
      <c r="A18" s="1">
        <f t="shared" si="0"/>
        <v>14</v>
      </c>
      <c r="B18" s="18" t="s">
        <v>123</v>
      </c>
      <c r="C18" s="19" t="s">
        <v>126</v>
      </c>
      <c r="D18" s="19" t="s">
        <v>127</v>
      </c>
      <c r="E18" s="19" t="s">
        <v>93</v>
      </c>
      <c r="F18" s="19" t="s">
        <v>93</v>
      </c>
      <c r="G18" s="19" t="s">
        <v>94</v>
      </c>
      <c r="H18" s="22">
        <v>0.62175330243967908</v>
      </c>
      <c r="I18" s="22">
        <v>0.24756313174936237</v>
      </c>
      <c r="J18" s="22">
        <v>6.4141535660598228E-2</v>
      </c>
      <c r="K18" s="22">
        <v>3.0420777942647883E-2</v>
      </c>
      <c r="L18" s="22">
        <v>3.3563309900342007E-3</v>
      </c>
      <c r="M18" s="22">
        <v>3.0730276861022671E-2</v>
      </c>
      <c r="N18" s="22">
        <v>2.0346443566556555E-3</v>
      </c>
      <c r="O18" s="23">
        <v>1</v>
      </c>
    </row>
    <row r="19" spans="1:15" ht="15.75" x14ac:dyDescent="0.25">
      <c r="A19" s="1">
        <f t="shared" si="0"/>
        <v>15</v>
      </c>
      <c r="B19" s="18" t="s">
        <v>105</v>
      </c>
      <c r="C19" s="19" t="s">
        <v>105</v>
      </c>
      <c r="D19" s="19" t="s">
        <v>128</v>
      </c>
      <c r="E19" s="19" t="s">
        <v>129</v>
      </c>
      <c r="F19" s="19" t="s">
        <v>93</v>
      </c>
      <c r="G19" s="19" t="s">
        <v>94</v>
      </c>
      <c r="H19" s="22">
        <v>0.62747517341080083</v>
      </c>
      <c r="I19" s="22">
        <v>0.28669912120605612</v>
      </c>
      <c r="J19" s="22">
        <v>4.1010075373167643E-2</v>
      </c>
      <c r="K19" s="22">
        <v>2.0862924005322876E-2</v>
      </c>
      <c r="L19" s="22">
        <v>1.9911549789266769E-3</v>
      </c>
      <c r="M19" s="22">
        <v>2.0433055963638883E-2</v>
      </c>
      <c r="N19" s="22">
        <v>1.5284950620868742E-3</v>
      </c>
      <c r="O19" s="23">
        <v>0.99999999999999989</v>
      </c>
    </row>
    <row r="20" spans="1:15" ht="15.75" x14ac:dyDescent="0.25">
      <c r="A20" s="1">
        <f t="shared" si="0"/>
        <v>16</v>
      </c>
      <c r="B20" s="18" t="s">
        <v>123</v>
      </c>
      <c r="C20" s="19" t="s">
        <v>130</v>
      </c>
      <c r="D20" s="19" t="s">
        <v>131</v>
      </c>
      <c r="E20" s="19" t="s">
        <v>93</v>
      </c>
      <c r="F20" s="19" t="s">
        <v>93</v>
      </c>
      <c r="G20" s="19" t="s">
        <v>94</v>
      </c>
      <c r="H20" s="22">
        <v>0.60509669123174747</v>
      </c>
      <c r="I20" s="22">
        <v>0.30401118871045829</v>
      </c>
      <c r="J20" s="22">
        <v>4.2870982824477537E-2</v>
      </c>
      <c r="K20" s="22">
        <v>2.2069342517158128E-2</v>
      </c>
      <c r="L20" s="22">
        <v>1.8972817296028677E-3</v>
      </c>
      <c r="M20" s="22">
        <v>2.2542580126964383E-2</v>
      </c>
      <c r="N20" s="22">
        <v>1.5119328595913719E-3</v>
      </c>
      <c r="O20" s="23">
        <v>1</v>
      </c>
    </row>
    <row r="21" spans="1:15" ht="15.75" x14ac:dyDescent="0.25">
      <c r="A21" s="1">
        <f t="shared" si="0"/>
        <v>17</v>
      </c>
      <c r="B21" s="18" t="s">
        <v>132</v>
      </c>
      <c r="C21" s="19" t="s">
        <v>133</v>
      </c>
      <c r="D21" s="19" t="s">
        <v>134</v>
      </c>
      <c r="E21" s="19" t="s">
        <v>93</v>
      </c>
      <c r="F21" s="19" t="s">
        <v>93</v>
      </c>
      <c r="G21" s="19" t="s">
        <v>94</v>
      </c>
      <c r="H21" s="22">
        <v>0.65110421740562852</v>
      </c>
      <c r="I21" s="22">
        <v>0.25086798408289535</v>
      </c>
      <c r="J21" s="22">
        <v>4.5360235485613215E-2</v>
      </c>
      <c r="K21" s="22">
        <v>2.3395220945105499E-2</v>
      </c>
      <c r="L21" s="22">
        <v>2.3996672464467335E-3</v>
      </c>
      <c r="M21" s="22">
        <v>2.4592785731085302E-2</v>
      </c>
      <c r="N21" s="22">
        <v>2.2798891032252931E-3</v>
      </c>
      <c r="O21" s="23">
        <v>0.99999999999999978</v>
      </c>
    </row>
    <row r="22" spans="1:15" ht="47.25" x14ac:dyDescent="0.25">
      <c r="A22" s="1">
        <f t="shared" si="0"/>
        <v>18</v>
      </c>
      <c r="B22" s="18" t="s">
        <v>135</v>
      </c>
      <c r="C22" s="19" t="s">
        <v>136</v>
      </c>
      <c r="D22" s="19" t="s">
        <v>137</v>
      </c>
      <c r="E22" s="19"/>
      <c r="F22" s="19" t="s">
        <v>108</v>
      </c>
      <c r="G22" s="19" t="s">
        <v>89</v>
      </c>
      <c r="H22" s="22">
        <v>0.70041400828016565</v>
      </c>
      <c r="I22" s="22">
        <v>0.22870457409148182</v>
      </c>
      <c r="J22" s="22">
        <v>4.3500870017400349E-2</v>
      </c>
      <c r="K22" s="22">
        <v>1.2410248204964098E-2</v>
      </c>
      <c r="L22" s="22">
        <v>5.3501070021400423E-3</v>
      </c>
      <c r="M22" s="22">
        <v>9.6201924038480779E-3</v>
      </c>
      <c r="N22" s="22">
        <v>0</v>
      </c>
      <c r="O22" s="23">
        <v>0.99999999999999989</v>
      </c>
    </row>
    <row r="23" spans="1:15" ht="15.75" x14ac:dyDescent="0.25">
      <c r="A23" s="1">
        <f t="shared" si="0"/>
        <v>19</v>
      </c>
      <c r="B23" s="18" t="s">
        <v>75</v>
      </c>
      <c r="C23" s="19" t="s">
        <v>75</v>
      </c>
      <c r="D23" s="19" t="s">
        <v>138</v>
      </c>
      <c r="E23" s="19" t="s">
        <v>93</v>
      </c>
      <c r="F23" s="19" t="s">
        <v>93</v>
      </c>
      <c r="G23" s="19" t="s">
        <v>94</v>
      </c>
      <c r="H23" s="22">
        <v>0.69924599650418939</v>
      </c>
      <c r="I23" s="22">
        <v>0.22074416737836836</v>
      </c>
      <c r="J23" s="22">
        <v>3.7251017956680892E-2</v>
      </c>
      <c r="K23" s="22">
        <v>1.906213163040011E-2</v>
      </c>
      <c r="L23" s="22">
        <v>1.9713106304868975E-3</v>
      </c>
      <c r="M23" s="22">
        <v>1.9905318634405894E-2</v>
      </c>
      <c r="N23" s="22">
        <v>1.8200572654684716E-3</v>
      </c>
      <c r="O23" s="23">
        <v>1</v>
      </c>
    </row>
    <row r="24" spans="1:15" ht="15.75" x14ac:dyDescent="0.25">
      <c r="A24" s="1">
        <f t="shared" si="0"/>
        <v>20</v>
      </c>
      <c r="B24" s="18" t="s">
        <v>105</v>
      </c>
      <c r="C24" s="19" t="s">
        <v>139</v>
      </c>
      <c r="D24" s="19" t="s">
        <v>140</v>
      </c>
      <c r="E24" s="19"/>
      <c r="F24" s="19" t="s">
        <v>108</v>
      </c>
      <c r="G24" s="19" t="s">
        <v>89</v>
      </c>
      <c r="H24" s="22">
        <v>0.71479212392927571</v>
      </c>
      <c r="I24" s="22">
        <v>0.23288962314046133</v>
      </c>
      <c r="J24" s="22">
        <v>5.1128297777183952E-2</v>
      </c>
      <c r="K24" s="22">
        <v>8.4758226461303097E-4</v>
      </c>
      <c r="L24" s="22">
        <v>3.4237288846615484E-4</v>
      </c>
      <c r="M24" s="22">
        <v>0</v>
      </c>
      <c r="N24" s="22">
        <v>0</v>
      </c>
      <c r="O24" s="23">
        <v>1.0000000000000002</v>
      </c>
    </row>
    <row r="25" spans="1:15" ht="15.75" x14ac:dyDescent="0.25">
      <c r="A25" s="1">
        <f t="shared" si="0"/>
        <v>21</v>
      </c>
      <c r="B25" s="18" t="s">
        <v>141</v>
      </c>
      <c r="C25" s="19" t="s">
        <v>142</v>
      </c>
      <c r="D25" s="19" t="s">
        <v>143</v>
      </c>
      <c r="E25" s="19" t="s">
        <v>93</v>
      </c>
      <c r="F25" s="19" t="s">
        <v>93</v>
      </c>
      <c r="G25" s="19" t="s">
        <v>94</v>
      </c>
      <c r="H25" s="22">
        <v>0.70041400828016565</v>
      </c>
      <c r="I25" s="22">
        <v>0.22870457409148182</v>
      </c>
      <c r="J25" s="22">
        <v>4.3500870017400349E-2</v>
      </c>
      <c r="K25" s="22">
        <v>1.2410248204964098E-2</v>
      </c>
      <c r="L25" s="22">
        <v>5.3501070021400423E-3</v>
      </c>
      <c r="M25" s="22">
        <v>9.6201924038480779E-3</v>
      </c>
      <c r="N25" s="22">
        <v>0</v>
      </c>
      <c r="O25" s="23">
        <v>0.99999999999999989</v>
      </c>
    </row>
    <row r="26" spans="1:15" ht="15.75" x14ac:dyDescent="0.25">
      <c r="A26" s="1">
        <f t="shared" si="0"/>
        <v>22</v>
      </c>
      <c r="B26" s="18" t="s">
        <v>144</v>
      </c>
      <c r="C26" s="19" t="s">
        <v>145</v>
      </c>
      <c r="D26" s="19" t="s">
        <v>146</v>
      </c>
      <c r="E26" s="19"/>
      <c r="F26" s="19" t="s">
        <v>108</v>
      </c>
      <c r="G26" s="19" t="s">
        <v>89</v>
      </c>
      <c r="H26" s="22">
        <v>0.6505544341830567</v>
      </c>
      <c r="I26" s="22">
        <v>0.21764860592560661</v>
      </c>
      <c r="J26" s="22">
        <v>6.3829511124658095E-2</v>
      </c>
      <c r="K26" s="22">
        <v>2.9670936455217359E-2</v>
      </c>
      <c r="L26" s="22">
        <v>2.6134063034071522E-3</v>
      </c>
      <c r="M26" s="22">
        <v>3.5683106008054057E-2</v>
      </c>
      <c r="N26" s="22">
        <v>0</v>
      </c>
      <c r="O26" s="23">
        <v>0.99999999999999989</v>
      </c>
    </row>
    <row r="27" spans="1:15" ht="15.75" x14ac:dyDescent="0.25">
      <c r="A27" s="1">
        <f t="shared" si="0"/>
        <v>23</v>
      </c>
      <c r="B27" s="18" t="s">
        <v>144</v>
      </c>
      <c r="C27" s="19" t="s">
        <v>147</v>
      </c>
      <c r="D27" s="19" t="s">
        <v>148</v>
      </c>
      <c r="E27" s="19" t="s">
        <v>93</v>
      </c>
      <c r="F27" s="19" t="s">
        <v>93</v>
      </c>
      <c r="G27" s="19" t="s">
        <v>94</v>
      </c>
      <c r="H27" s="22">
        <v>0.65014178754557572</v>
      </c>
      <c r="I27" s="22">
        <v>0.21747038294943719</v>
      </c>
      <c r="J27" s="22">
        <v>6.366689165398895E-2</v>
      </c>
      <c r="K27" s="22">
        <v>2.9448048442565034E-2</v>
      </c>
      <c r="L27" s="22">
        <v>2.5954949427723834E-3</v>
      </c>
      <c r="M27" s="22">
        <v>3.5408503693145223E-2</v>
      </c>
      <c r="N27" s="22">
        <v>1.2688907725154248E-3</v>
      </c>
      <c r="O27" s="23">
        <v>0.99999999999999989</v>
      </c>
    </row>
    <row r="28" spans="1:15" ht="15.75" x14ac:dyDescent="0.25">
      <c r="A28" s="1">
        <f t="shared" si="0"/>
        <v>24</v>
      </c>
      <c r="B28" s="18" t="s">
        <v>123</v>
      </c>
      <c r="C28" s="19" t="s">
        <v>149</v>
      </c>
      <c r="D28" s="19" t="s">
        <v>150</v>
      </c>
      <c r="E28" s="19" t="s">
        <v>93</v>
      </c>
      <c r="F28" s="19" t="s">
        <v>93</v>
      </c>
      <c r="G28" s="19" t="s">
        <v>94</v>
      </c>
      <c r="H28" s="22">
        <v>0.78364010920900418</v>
      </c>
      <c r="I28" s="22">
        <v>0.21240998811623002</v>
      </c>
      <c r="J28" s="22">
        <v>3.4877512419148968E-3</v>
      </c>
      <c r="K28" s="22">
        <v>2.6217916857691687E-5</v>
      </c>
      <c r="L28" s="22">
        <v>4.2719421037406999E-4</v>
      </c>
      <c r="M28" s="22">
        <v>0</v>
      </c>
      <c r="N28" s="22">
        <v>8.7393056192305612E-6</v>
      </c>
      <c r="O28" s="23">
        <v>1</v>
      </c>
    </row>
    <row r="29" spans="1:15" ht="15.75" x14ac:dyDescent="0.25">
      <c r="A29" s="1">
        <f t="shared" si="0"/>
        <v>25</v>
      </c>
      <c r="B29" s="18" t="s">
        <v>144</v>
      </c>
      <c r="C29" s="19" t="s">
        <v>151</v>
      </c>
      <c r="D29" s="19" t="s">
        <v>152</v>
      </c>
      <c r="E29" s="19" t="s">
        <v>88</v>
      </c>
      <c r="F29" s="19" t="s">
        <v>88</v>
      </c>
      <c r="G29" s="19" t="s">
        <v>89</v>
      </c>
      <c r="H29" s="22">
        <v>4.457607629043272E-3</v>
      </c>
      <c r="I29" s="22">
        <v>0.56696583189208416</v>
      </c>
      <c r="J29" s="22">
        <v>0.23695737329798419</v>
      </c>
      <c r="K29" s="22">
        <v>0.1199808716790985</v>
      </c>
      <c r="L29" s="22">
        <v>2.564200609571636E-2</v>
      </c>
      <c r="M29" s="22">
        <v>2.6523214190318029E-2</v>
      </c>
      <c r="N29" s="22">
        <v>1.9473095215755468E-2</v>
      </c>
      <c r="O29" s="23">
        <v>0.99999999999999989</v>
      </c>
    </row>
    <row r="30" spans="1:15" ht="15.75" x14ac:dyDescent="0.25">
      <c r="A30" s="1">
        <f t="shared" si="0"/>
        <v>26</v>
      </c>
      <c r="B30" s="18" t="s">
        <v>105</v>
      </c>
      <c r="C30" s="19" t="s">
        <v>153</v>
      </c>
      <c r="D30" s="19" t="s">
        <v>154</v>
      </c>
      <c r="E30" s="19" t="s">
        <v>88</v>
      </c>
      <c r="F30" s="19" t="s">
        <v>88</v>
      </c>
      <c r="G30" s="19" t="s">
        <v>89</v>
      </c>
      <c r="H30" s="22">
        <v>0.78364010920900429</v>
      </c>
      <c r="I30" s="22">
        <v>0.21240998811623005</v>
      </c>
      <c r="J30" s="22">
        <v>3.4877512419148977E-3</v>
      </c>
      <c r="K30" s="22">
        <v>2.621791685769169E-5</v>
      </c>
      <c r="L30" s="22">
        <v>4.2719421037407004E-4</v>
      </c>
      <c r="M30" s="22">
        <v>0</v>
      </c>
      <c r="N30" s="22">
        <v>8.7393056192305629E-6</v>
      </c>
      <c r="O30" s="23">
        <v>1.0000000000000002</v>
      </c>
    </row>
    <row r="31" spans="1:15" ht="15.75" x14ac:dyDescent="0.25">
      <c r="A31" s="1">
        <f t="shared" si="0"/>
        <v>27</v>
      </c>
      <c r="B31" s="18" t="s">
        <v>105</v>
      </c>
      <c r="C31" s="19" t="s">
        <v>155</v>
      </c>
      <c r="D31" s="19" t="s">
        <v>156</v>
      </c>
      <c r="E31" s="19" t="s">
        <v>88</v>
      </c>
      <c r="F31" s="19" t="s">
        <v>88</v>
      </c>
      <c r="G31" s="19" t="s">
        <v>89</v>
      </c>
      <c r="H31" s="22">
        <v>0.92722335136251788</v>
      </c>
      <c r="I31" s="22">
        <v>7.2211779617158689E-2</v>
      </c>
      <c r="J31" s="22">
        <v>5.0246444284009694E-4</v>
      </c>
      <c r="K31" s="22">
        <v>3.2278229732768536E-6</v>
      </c>
      <c r="L31" s="22">
        <v>5.8100813518983355E-5</v>
      </c>
      <c r="M31" s="22">
        <v>0</v>
      </c>
      <c r="N31" s="22">
        <v>1.0759409910922845E-6</v>
      </c>
      <c r="O31" s="23">
        <v>0.99999999999999989</v>
      </c>
    </row>
    <row r="32" spans="1:15" ht="15.75" x14ac:dyDescent="0.25">
      <c r="A32" s="1">
        <f t="shared" si="0"/>
        <v>28</v>
      </c>
      <c r="B32" s="18" t="s">
        <v>157</v>
      </c>
      <c r="C32" s="19" t="s">
        <v>158</v>
      </c>
      <c r="D32" s="19" t="s">
        <v>159</v>
      </c>
      <c r="E32" s="19" t="s">
        <v>93</v>
      </c>
      <c r="F32" s="19" t="s">
        <v>93</v>
      </c>
      <c r="G32" s="19" t="s">
        <v>94</v>
      </c>
      <c r="H32" s="22">
        <v>0.69420219850516041</v>
      </c>
      <c r="I32" s="22">
        <v>0.21693719724223001</v>
      </c>
      <c r="J32" s="22">
        <v>3.9951441719371546E-2</v>
      </c>
      <c r="K32" s="22">
        <v>2.0786929538292157E-2</v>
      </c>
      <c r="L32" s="22">
        <v>2.2927334631677224E-3</v>
      </c>
      <c r="M32" s="22">
        <v>2.3317946487334214E-2</v>
      </c>
      <c r="N32" s="22">
        <v>2.5115530444439226E-3</v>
      </c>
      <c r="O32" s="23">
        <v>1</v>
      </c>
    </row>
    <row r="33" spans="1:15" ht="15.75" x14ac:dyDescent="0.25">
      <c r="A33" s="1">
        <f t="shared" si="0"/>
        <v>29</v>
      </c>
      <c r="B33" s="18" t="s">
        <v>157</v>
      </c>
      <c r="C33" s="19" t="s">
        <v>160</v>
      </c>
      <c r="D33" s="19" t="s">
        <v>161</v>
      </c>
      <c r="E33" s="19" t="s">
        <v>93</v>
      </c>
      <c r="F33" s="19" t="s">
        <v>93</v>
      </c>
      <c r="G33" s="19" t="s">
        <v>94</v>
      </c>
      <c r="H33" s="22">
        <v>0.67627293682775591</v>
      </c>
      <c r="I33" s="22">
        <v>0.21289220002816925</v>
      </c>
      <c r="J33" s="22">
        <v>4.9794790990691777E-2</v>
      </c>
      <c r="K33" s="22">
        <v>2.6129631576869684E-2</v>
      </c>
      <c r="L33" s="22">
        <v>2.784557848711781E-3</v>
      </c>
      <c r="M33" s="22">
        <v>2.9042238371009343E-2</v>
      </c>
      <c r="N33" s="22">
        <v>3.08364435679233E-3</v>
      </c>
      <c r="O33" s="23">
        <v>1</v>
      </c>
    </row>
    <row r="34" spans="1:15" ht="15.75" x14ac:dyDescent="0.25">
      <c r="A34" s="1">
        <f t="shared" si="0"/>
        <v>30</v>
      </c>
      <c r="B34" s="18" t="s">
        <v>162</v>
      </c>
      <c r="C34" s="19" t="s">
        <v>163</v>
      </c>
      <c r="D34" s="19" t="s">
        <v>164</v>
      </c>
      <c r="E34" s="19" t="s">
        <v>2</v>
      </c>
      <c r="F34" s="19" t="s">
        <v>2</v>
      </c>
      <c r="G34" s="19" t="s">
        <v>89</v>
      </c>
      <c r="H34" s="22">
        <v>0.87100467947175331</v>
      </c>
      <c r="I34" s="22">
        <v>0.11817419965003745</v>
      </c>
      <c r="J34" s="22">
        <v>3.7975480321204166E-3</v>
      </c>
      <c r="K34" s="22">
        <v>6.5056564671808169E-3</v>
      </c>
      <c r="L34" s="22">
        <v>3.5447324883304949E-4</v>
      </c>
      <c r="M34" s="22">
        <v>1.6344313007513498E-4</v>
      </c>
      <c r="N34" s="22">
        <v>0</v>
      </c>
      <c r="O34" s="23">
        <v>1.0000000000000002</v>
      </c>
    </row>
    <row r="35" spans="1:15" ht="15.75" x14ac:dyDescent="0.25">
      <c r="A35" s="1">
        <f t="shared" si="0"/>
        <v>31</v>
      </c>
      <c r="B35" s="18" t="s">
        <v>165</v>
      </c>
      <c r="C35" s="19" t="s">
        <v>166</v>
      </c>
      <c r="D35" s="19" t="s">
        <v>167</v>
      </c>
      <c r="E35" s="19" t="s">
        <v>93</v>
      </c>
      <c r="F35" s="19" t="s">
        <v>93</v>
      </c>
      <c r="G35" s="19" t="s">
        <v>94</v>
      </c>
      <c r="H35" s="22">
        <v>0.62867194012725891</v>
      </c>
      <c r="I35" s="22">
        <v>0.28471489156719776</v>
      </c>
      <c r="J35" s="22">
        <v>4.1407822292561097E-2</v>
      </c>
      <c r="K35" s="22">
        <v>2.0958106189448558E-2</v>
      </c>
      <c r="L35" s="22">
        <v>2.0566234639228776E-3</v>
      </c>
      <c r="M35" s="22">
        <v>2.0627095078266468E-2</v>
      </c>
      <c r="N35" s="22">
        <v>1.5635212813443432E-3</v>
      </c>
      <c r="O35" s="23">
        <v>1</v>
      </c>
    </row>
    <row r="36" spans="1:15" ht="15.75" x14ac:dyDescent="0.25">
      <c r="A36" s="1">
        <f t="shared" si="0"/>
        <v>32</v>
      </c>
      <c r="B36" s="18" t="s">
        <v>112</v>
      </c>
      <c r="C36" s="19" t="s">
        <v>168</v>
      </c>
      <c r="D36" s="19" t="s">
        <v>169</v>
      </c>
      <c r="E36" s="19" t="s">
        <v>93</v>
      </c>
      <c r="F36" s="19" t="s">
        <v>93</v>
      </c>
      <c r="G36" s="19" t="s">
        <v>94</v>
      </c>
      <c r="H36" s="22">
        <v>0.62962716327884394</v>
      </c>
      <c r="I36" s="22">
        <v>0.28327360456644668</v>
      </c>
      <c r="J36" s="22">
        <v>4.1576126051460938E-2</v>
      </c>
      <c r="K36" s="22">
        <v>2.1061884705057293E-2</v>
      </c>
      <c r="L36" s="22">
        <v>2.0712311365638542E-3</v>
      </c>
      <c r="M36" s="22">
        <v>2.0795964225013737E-2</v>
      </c>
      <c r="N36" s="22">
        <v>1.5940260366137046E-3</v>
      </c>
      <c r="O36" s="23">
        <v>1.0000000000000002</v>
      </c>
    </row>
    <row r="37" spans="1:15" ht="15.75" x14ac:dyDescent="0.25">
      <c r="A37" s="1">
        <f t="shared" si="0"/>
        <v>33</v>
      </c>
      <c r="B37" s="18" t="s">
        <v>170</v>
      </c>
      <c r="C37" s="19" t="s">
        <v>170</v>
      </c>
      <c r="D37" s="19" t="s">
        <v>171</v>
      </c>
      <c r="E37" s="19" t="s">
        <v>93</v>
      </c>
      <c r="F37" s="19" t="s">
        <v>93</v>
      </c>
      <c r="G37" s="19" t="s">
        <v>94</v>
      </c>
      <c r="H37" s="22">
        <v>0.70041400828016565</v>
      </c>
      <c r="I37" s="22">
        <v>0.22870457409148182</v>
      </c>
      <c r="J37" s="22">
        <v>4.3500870017400349E-2</v>
      </c>
      <c r="K37" s="22">
        <v>1.2410248204964098E-2</v>
      </c>
      <c r="L37" s="22">
        <v>5.3501070021400423E-3</v>
      </c>
      <c r="M37" s="22">
        <v>9.6201924038480779E-3</v>
      </c>
      <c r="N37" s="22">
        <v>0</v>
      </c>
      <c r="O37" s="23">
        <v>0.99999999999999989</v>
      </c>
    </row>
    <row r="38" spans="1:15" ht="15.75" x14ac:dyDescent="0.25">
      <c r="A38" s="1">
        <f t="shared" si="0"/>
        <v>34</v>
      </c>
      <c r="B38" s="18" t="s">
        <v>76</v>
      </c>
      <c r="C38" s="19" t="s">
        <v>76</v>
      </c>
      <c r="D38" s="19" t="s">
        <v>172</v>
      </c>
      <c r="E38" s="19" t="s">
        <v>93</v>
      </c>
      <c r="F38" s="19" t="s">
        <v>93</v>
      </c>
      <c r="G38" s="19" t="s">
        <v>94</v>
      </c>
      <c r="H38" s="22">
        <v>0.64129265828320803</v>
      </c>
      <c r="I38" s="22">
        <v>0.26842464037953417</v>
      </c>
      <c r="J38" s="22">
        <v>4.320088573123651E-2</v>
      </c>
      <c r="K38" s="22">
        <v>2.155872893174407E-2</v>
      </c>
      <c r="L38" s="22">
        <v>2.1618484518701486E-3</v>
      </c>
      <c r="M38" s="22">
        <v>2.1750873069094429E-2</v>
      </c>
      <c r="N38" s="22">
        <v>1.6103651533125119E-3</v>
      </c>
      <c r="O38" s="23">
        <v>0.99999999999999978</v>
      </c>
    </row>
    <row r="39" spans="1:15" ht="15.75" x14ac:dyDescent="0.25">
      <c r="A39" s="1">
        <f t="shared" si="0"/>
        <v>35</v>
      </c>
      <c r="B39" s="18" t="s">
        <v>95</v>
      </c>
      <c r="C39" s="19" t="s">
        <v>173</v>
      </c>
      <c r="D39" s="19" t="s">
        <v>174</v>
      </c>
      <c r="E39" s="19" t="s">
        <v>2</v>
      </c>
      <c r="F39" s="19" t="s">
        <v>2</v>
      </c>
      <c r="G39" s="19" t="s">
        <v>89</v>
      </c>
      <c r="H39" s="22">
        <v>1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3">
        <v>1</v>
      </c>
    </row>
    <row r="40" spans="1:15" ht="15.75" x14ac:dyDescent="0.25">
      <c r="A40" s="1">
        <f t="shared" si="0"/>
        <v>36</v>
      </c>
      <c r="B40" s="18" t="s">
        <v>175</v>
      </c>
      <c r="C40" s="19" t="s">
        <v>176</v>
      </c>
      <c r="D40" s="19" t="s">
        <v>177</v>
      </c>
      <c r="E40" s="19" t="s">
        <v>93</v>
      </c>
      <c r="F40" s="19" t="s">
        <v>93</v>
      </c>
      <c r="G40" s="19" t="s">
        <v>94</v>
      </c>
      <c r="H40" s="22">
        <v>0.65768052102223551</v>
      </c>
      <c r="I40" s="22">
        <v>0.25239587218289466</v>
      </c>
      <c r="J40" s="22">
        <v>4.2319129575566376E-2</v>
      </c>
      <c r="K40" s="22">
        <v>2.1403592074092755E-2</v>
      </c>
      <c r="L40" s="22">
        <v>2.2367364813146318E-3</v>
      </c>
      <c r="M40" s="22">
        <v>2.1973342711434213E-2</v>
      </c>
      <c r="N40" s="22">
        <v>1.990805952461947E-3</v>
      </c>
      <c r="O40" s="23">
        <v>1</v>
      </c>
    </row>
    <row r="41" spans="1:15" ht="15.75" x14ac:dyDescent="0.25">
      <c r="A41" s="1">
        <f t="shared" si="0"/>
        <v>37</v>
      </c>
      <c r="B41" s="18" t="s">
        <v>144</v>
      </c>
      <c r="C41" s="19" t="s">
        <v>178</v>
      </c>
      <c r="D41" s="19" t="s">
        <v>179</v>
      </c>
      <c r="E41" s="19" t="s">
        <v>88</v>
      </c>
      <c r="F41" s="19" t="s">
        <v>88</v>
      </c>
      <c r="G41" s="19" t="s">
        <v>89</v>
      </c>
      <c r="H41" s="22">
        <v>0.53582218811943227</v>
      </c>
      <c r="I41" s="22">
        <v>0.45553103134063905</v>
      </c>
      <c r="J41" s="22">
        <v>7.9172985177715666E-3</v>
      </c>
      <c r="K41" s="22">
        <v>0</v>
      </c>
      <c r="L41" s="22">
        <v>7.2948202215705694E-4</v>
      </c>
      <c r="M41" s="22">
        <v>0</v>
      </c>
      <c r="N41" s="22">
        <v>0</v>
      </c>
      <c r="O41" s="23">
        <v>1</v>
      </c>
    </row>
    <row r="42" spans="1:15" ht="31.5" x14ac:dyDescent="0.25">
      <c r="A42" s="1">
        <f t="shared" si="0"/>
        <v>38</v>
      </c>
      <c r="B42" s="18" t="s">
        <v>180</v>
      </c>
      <c r="C42" s="19" t="s">
        <v>181</v>
      </c>
      <c r="D42" s="19" t="s">
        <v>182</v>
      </c>
      <c r="E42" s="19" t="s">
        <v>93</v>
      </c>
      <c r="F42" s="19" t="s">
        <v>93</v>
      </c>
      <c r="G42" s="19" t="s">
        <v>94</v>
      </c>
      <c r="H42" s="22">
        <v>0.67973713721715234</v>
      </c>
      <c r="I42" s="22">
        <v>0.22382188063697536</v>
      </c>
      <c r="J42" s="22">
        <v>4.6524061413593033E-2</v>
      </c>
      <c r="K42" s="22">
        <v>1.997028662364364E-2</v>
      </c>
      <c r="L42" s="22">
        <v>5.4402682458600648E-3</v>
      </c>
      <c r="M42" s="22">
        <v>2.0428012825997599E-2</v>
      </c>
      <c r="N42" s="22">
        <v>4.0783530367777153E-3</v>
      </c>
      <c r="O42" s="23">
        <v>0.99999999999999978</v>
      </c>
    </row>
    <row r="43" spans="1:15" ht="15.75" x14ac:dyDescent="0.25">
      <c r="A43" s="1">
        <f t="shared" si="0"/>
        <v>39</v>
      </c>
      <c r="B43" s="18" t="s">
        <v>183</v>
      </c>
      <c r="C43" s="19" t="s">
        <v>184</v>
      </c>
      <c r="D43" s="19" t="s">
        <v>185</v>
      </c>
      <c r="E43" s="19" t="s">
        <v>2</v>
      </c>
      <c r="F43" s="19" t="s">
        <v>2</v>
      </c>
      <c r="G43" s="19" t="s">
        <v>89</v>
      </c>
      <c r="H43" s="22">
        <v>0.71365851470688368</v>
      </c>
      <c r="I43" s="22">
        <v>0.21328100806174374</v>
      </c>
      <c r="J43" s="22">
        <v>3.9758084716021103E-2</v>
      </c>
      <c r="K43" s="22">
        <v>1.6526777696539541E-2</v>
      </c>
      <c r="L43" s="22">
        <v>2.8738321553271225E-3</v>
      </c>
      <c r="M43" s="22">
        <v>1.0732625907655934E-2</v>
      </c>
      <c r="N43" s="22">
        <v>3.1691567558287869E-3</v>
      </c>
      <c r="O43" s="23">
        <v>0.99999999999999978</v>
      </c>
    </row>
    <row r="44" spans="1:15" ht="47.25" x14ac:dyDescent="0.25">
      <c r="A44" s="1">
        <f t="shared" si="0"/>
        <v>40</v>
      </c>
      <c r="B44" s="18" t="s">
        <v>186</v>
      </c>
      <c r="C44" s="19" t="s">
        <v>187</v>
      </c>
      <c r="D44" s="19" t="s">
        <v>188</v>
      </c>
      <c r="E44" s="19" t="s">
        <v>93</v>
      </c>
      <c r="F44" s="19" t="s">
        <v>93</v>
      </c>
      <c r="G44" s="19" t="s">
        <v>94</v>
      </c>
      <c r="H44" s="22">
        <v>0.63323901422951312</v>
      </c>
      <c r="I44" s="22">
        <v>0.28005490136887617</v>
      </c>
      <c r="J44" s="22">
        <v>4.1352080306393917E-2</v>
      </c>
      <c r="K44" s="22">
        <v>2.0948132852469898E-2</v>
      </c>
      <c r="L44" s="22">
        <v>2.0691481815125323E-3</v>
      </c>
      <c r="M44" s="22">
        <v>2.0733737712887272E-2</v>
      </c>
      <c r="N44" s="22">
        <v>1.6029853483472457E-3</v>
      </c>
      <c r="O44" s="23">
        <v>1</v>
      </c>
    </row>
    <row r="45" spans="1:15" ht="15.75" x14ac:dyDescent="0.25">
      <c r="A45" s="1">
        <f t="shared" si="0"/>
        <v>41</v>
      </c>
      <c r="B45" s="18" t="s">
        <v>162</v>
      </c>
      <c r="C45" s="19" t="s">
        <v>189</v>
      </c>
      <c r="D45" s="19" t="s">
        <v>190</v>
      </c>
      <c r="E45" s="19" t="s">
        <v>2</v>
      </c>
      <c r="F45" s="19" t="s">
        <v>2</v>
      </c>
      <c r="G45" s="19" t="s">
        <v>89</v>
      </c>
      <c r="H45" s="22">
        <v>0</v>
      </c>
      <c r="I45" s="22">
        <v>1.3346496216756958E-3</v>
      </c>
      <c r="J45" s="22">
        <v>0.24441557950927265</v>
      </c>
      <c r="K45" s="22">
        <v>0.38695682056163816</v>
      </c>
      <c r="L45" s="22">
        <v>2.0688599052529247E-2</v>
      </c>
      <c r="M45" s="22">
        <v>0.24987934609279161</v>
      </c>
      <c r="N45" s="22">
        <v>9.6725005162092467E-2</v>
      </c>
      <c r="O45" s="23">
        <v>0.99999999999999989</v>
      </c>
    </row>
    <row r="46" spans="1:15" ht="15.75" x14ac:dyDescent="0.25">
      <c r="A46" s="1">
        <f t="shared" si="0"/>
        <v>42</v>
      </c>
      <c r="B46" s="18" t="s">
        <v>85</v>
      </c>
      <c r="C46" s="19" t="s">
        <v>191</v>
      </c>
      <c r="D46" s="19" t="s">
        <v>192</v>
      </c>
      <c r="E46" s="19" t="s">
        <v>88</v>
      </c>
      <c r="F46" s="19" t="s">
        <v>88</v>
      </c>
      <c r="G46" s="19" t="s">
        <v>89</v>
      </c>
      <c r="H46" s="22">
        <v>0.75278767761946641</v>
      </c>
      <c r="I46" s="22">
        <v>0.237503232267673</v>
      </c>
      <c r="J46" s="22">
        <v>9.7090901128605057E-3</v>
      </c>
      <c r="K46" s="22">
        <v>0</v>
      </c>
      <c r="L46" s="22">
        <v>0</v>
      </c>
      <c r="M46" s="22">
        <v>0</v>
      </c>
      <c r="N46" s="22">
        <v>0</v>
      </c>
      <c r="O46" s="23">
        <v>0.99999999999999989</v>
      </c>
    </row>
    <row r="47" spans="1:15" ht="31.5" x14ac:dyDescent="0.25">
      <c r="A47" s="1">
        <f t="shared" si="0"/>
        <v>43</v>
      </c>
      <c r="B47" s="18" t="s">
        <v>193</v>
      </c>
      <c r="C47" s="19" t="s">
        <v>194</v>
      </c>
      <c r="D47" s="19" t="s">
        <v>195</v>
      </c>
      <c r="E47" s="19" t="s">
        <v>101</v>
      </c>
      <c r="F47" s="19" t="s">
        <v>196</v>
      </c>
      <c r="G47" s="19" t="s">
        <v>89</v>
      </c>
      <c r="H47" s="22">
        <v>0.57867865821046061</v>
      </c>
      <c r="I47" s="22">
        <v>0.1999576522213419</v>
      </c>
      <c r="J47" s="22">
        <v>6.1299949086069075E-2</v>
      </c>
      <c r="K47" s="22">
        <v>5.6920073730967163E-2</v>
      </c>
      <c r="L47" s="22">
        <v>5.8809325092261111E-3</v>
      </c>
      <c r="M47" s="22">
        <v>7.325137714989996E-2</v>
      </c>
      <c r="N47" s="22">
        <v>2.4011357092035356E-2</v>
      </c>
      <c r="O47" s="23">
        <v>1</v>
      </c>
    </row>
  </sheetData>
  <mergeCells count="1">
    <mergeCell ref="A1:B1"/>
  </mergeCells>
  <pageMargins left="0.7" right="0.7" top="0.75" bottom="0.75" header="0.3" footer="0.3"/>
  <pageSetup scale="52" orientation="landscape" horizontalDpi="1200" verticalDpi="1200" r:id="rId1"/>
  <headerFooter>
    <oddFooter>&amp;R&amp;A
 Page &amp;P of &amp;N</oddFooter>
  </headerFooter>
  <colBreaks count="1" manualBreakCount="1">
    <brk id="6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90" zoomScaleNormal="90" workbookViewId="0">
      <selection activeCell="A32" sqref="A32"/>
    </sheetView>
  </sheetViews>
  <sheetFormatPr defaultColWidth="42.28515625" defaultRowHeight="12.75" x14ac:dyDescent="0.2"/>
  <cols>
    <col min="1" max="1" width="26.5703125" style="40" customWidth="1"/>
    <col min="2" max="2" width="26.7109375" style="32" bestFit="1" customWidth="1"/>
    <col min="3" max="3" width="22.140625" style="32" bestFit="1" customWidth="1"/>
    <col min="4" max="4" width="20.5703125" style="32" customWidth="1"/>
    <col min="5" max="16384" width="42.28515625" style="32"/>
  </cols>
  <sheetData>
    <row r="1" spans="1:4" x14ac:dyDescent="0.2">
      <c r="A1" s="25" t="s">
        <v>0</v>
      </c>
      <c r="B1" s="31"/>
      <c r="C1" s="31"/>
    </row>
    <row r="2" spans="1:4" x14ac:dyDescent="0.2">
      <c r="A2" s="25" t="str">
        <f>'Rate Spread'!A2</f>
        <v>2023 Gas Schedule 141LNG LNG Tracker Filing</v>
      </c>
      <c r="B2" s="31"/>
      <c r="C2" s="31"/>
    </row>
    <row r="3" spans="1:4" x14ac:dyDescent="0.2">
      <c r="A3" s="25" t="s">
        <v>219</v>
      </c>
      <c r="B3" s="33"/>
      <c r="C3" s="33"/>
    </row>
    <row r="4" spans="1:4" x14ac:dyDescent="0.2">
      <c r="A4" s="25" t="str">
        <f>'Rate Spread'!A4</f>
        <v>Proposed Rates Effective May 11, 2024</v>
      </c>
      <c r="B4" s="33"/>
      <c r="C4" s="33"/>
    </row>
    <row r="6" spans="1:4" s="34" customFormat="1" ht="27" customHeight="1" x14ac:dyDescent="0.25">
      <c r="A6" s="35" t="s">
        <v>214</v>
      </c>
      <c r="B6" s="395" t="s">
        <v>215</v>
      </c>
      <c r="C6" s="396"/>
      <c r="D6" s="35" t="s">
        <v>212</v>
      </c>
    </row>
    <row r="7" spans="1:4" s="34" customFormat="1" x14ac:dyDescent="0.25">
      <c r="A7" s="36"/>
      <c r="B7" s="36"/>
      <c r="C7" s="36"/>
      <c r="D7" s="45"/>
    </row>
    <row r="8" spans="1:4" s="31" customFormat="1" x14ac:dyDescent="0.2">
      <c r="A8" s="41" t="s">
        <v>8</v>
      </c>
      <c r="B8" s="41" t="s">
        <v>198</v>
      </c>
      <c r="C8" s="41" t="s">
        <v>216</v>
      </c>
      <c r="D8" s="46">
        <f>'Rate Design'!F11</f>
        <v>4.6739999999999997E-2</v>
      </c>
    </row>
    <row r="9" spans="1:4" s="31" customFormat="1" x14ac:dyDescent="0.2">
      <c r="A9" s="41" t="s">
        <v>8</v>
      </c>
      <c r="B9" s="41" t="s">
        <v>199</v>
      </c>
      <c r="C9" s="41" t="s">
        <v>216</v>
      </c>
      <c r="D9" s="46">
        <f>'Rate Design'!F11</f>
        <v>4.6739999999999997E-2</v>
      </c>
    </row>
    <row r="10" spans="1:4" s="31" customFormat="1" x14ac:dyDescent="0.2">
      <c r="A10" s="41" t="s">
        <v>8</v>
      </c>
      <c r="B10" s="41" t="s">
        <v>200</v>
      </c>
      <c r="C10" s="41" t="s">
        <v>217</v>
      </c>
      <c r="D10" s="47">
        <f>'Rate Design'!G11</f>
        <v>0.89</v>
      </c>
    </row>
    <row r="11" spans="1:4" s="31" customFormat="1" x14ac:dyDescent="0.2">
      <c r="A11" s="41"/>
      <c r="B11" s="41"/>
      <c r="C11" s="41"/>
      <c r="D11" s="43"/>
    </row>
    <row r="12" spans="1:4" s="31" customFormat="1" x14ac:dyDescent="0.2">
      <c r="A12" s="41" t="s">
        <v>10</v>
      </c>
      <c r="B12" s="41" t="s">
        <v>201</v>
      </c>
      <c r="C12" s="43" t="s">
        <v>216</v>
      </c>
      <c r="D12" s="46">
        <f>'Rate Design'!F12</f>
        <v>3.968E-2</v>
      </c>
    </row>
    <row r="13" spans="1:4" s="31" customFormat="1" x14ac:dyDescent="0.2">
      <c r="A13" s="41"/>
      <c r="B13" s="41"/>
      <c r="C13" s="43"/>
      <c r="D13" s="46"/>
    </row>
    <row r="14" spans="1:4" s="31" customFormat="1" x14ac:dyDescent="0.2">
      <c r="A14" s="41" t="s">
        <v>11</v>
      </c>
      <c r="B14" s="41" t="s">
        <v>202</v>
      </c>
      <c r="C14" s="5" t="s">
        <v>233</v>
      </c>
      <c r="D14" s="46">
        <f>'Rate Design'!F15</f>
        <v>2.9180000000000001E-2</v>
      </c>
    </row>
    <row r="15" spans="1:4" s="31" customFormat="1" x14ac:dyDescent="0.2">
      <c r="A15" s="41" t="s">
        <v>11</v>
      </c>
      <c r="B15" s="41" t="s">
        <v>202</v>
      </c>
      <c r="C15" s="5" t="s">
        <v>234</v>
      </c>
      <c r="D15" s="46">
        <f>'Rate Design'!F16</f>
        <v>2.9180000000000001E-2</v>
      </c>
    </row>
    <row r="16" spans="1:4" s="31" customFormat="1" x14ac:dyDescent="0.2">
      <c r="A16" s="41" t="s">
        <v>11</v>
      </c>
      <c r="B16" s="41" t="s">
        <v>202</v>
      </c>
      <c r="C16" s="5" t="s">
        <v>243</v>
      </c>
      <c r="D16" s="46">
        <f>'Rate Design'!F17</f>
        <v>2.5219999999999999E-2</v>
      </c>
    </row>
    <row r="17" spans="1:4" s="31" customFormat="1" x14ac:dyDescent="0.2">
      <c r="A17" s="41"/>
      <c r="B17" s="41"/>
      <c r="C17" s="43"/>
      <c r="D17" s="46"/>
    </row>
    <row r="18" spans="1:4" s="31" customFormat="1" x14ac:dyDescent="0.2">
      <c r="A18" s="41" t="s">
        <v>12</v>
      </c>
      <c r="B18" s="41" t="s">
        <v>203</v>
      </c>
      <c r="C18" s="5" t="s">
        <v>235</v>
      </c>
      <c r="D18" s="46">
        <f>'Rate Design'!F20</f>
        <v>7.1590000000000001E-2</v>
      </c>
    </row>
    <row r="19" spans="1:4" s="31" customFormat="1" x14ac:dyDescent="0.2">
      <c r="A19" s="41" t="s">
        <v>12</v>
      </c>
      <c r="B19" s="41" t="s">
        <v>203</v>
      </c>
      <c r="C19" s="5" t="s">
        <v>236</v>
      </c>
      <c r="D19" s="46">
        <f>'Rate Design'!F21</f>
        <v>3.4020000000000002E-2</v>
      </c>
    </row>
    <row r="20" spans="1:4" s="31" customFormat="1" x14ac:dyDescent="0.2">
      <c r="A20" s="41" t="s">
        <v>12</v>
      </c>
      <c r="B20" s="41" t="s">
        <v>203</v>
      </c>
      <c r="C20" s="5" t="s">
        <v>242</v>
      </c>
      <c r="D20" s="46">
        <f>'Rate Design'!F22</f>
        <v>3.2539999999999999E-2</v>
      </c>
    </row>
    <row r="21" spans="1:4" s="31" customFormat="1" x14ac:dyDescent="0.2">
      <c r="A21" s="41"/>
      <c r="B21" s="41"/>
      <c r="C21" s="43"/>
      <c r="D21" s="46"/>
    </row>
    <row r="22" spans="1:4" s="31" customFormat="1" x14ac:dyDescent="0.2">
      <c r="A22" s="41" t="s">
        <v>13</v>
      </c>
      <c r="B22" s="41" t="s">
        <v>207</v>
      </c>
      <c r="C22" s="5" t="s">
        <v>240</v>
      </c>
      <c r="D22" s="46">
        <f>'Rate Design'!F25</f>
        <v>5.4550000000000001E-2</v>
      </c>
    </row>
    <row r="23" spans="1:4" s="31" customFormat="1" x14ac:dyDescent="0.2">
      <c r="A23" s="41" t="s">
        <v>13</v>
      </c>
      <c r="B23" s="41" t="s">
        <v>207</v>
      </c>
      <c r="C23" s="5" t="s">
        <v>241</v>
      </c>
      <c r="D23" s="46">
        <f>'Rate Design'!F26</f>
        <v>3.8670000000000003E-2</v>
      </c>
    </row>
    <row r="24" spans="1:4" s="31" customFormat="1" x14ac:dyDescent="0.2">
      <c r="A24" s="41"/>
      <c r="B24" s="41"/>
      <c r="C24" s="43"/>
      <c r="D24" s="46"/>
    </row>
    <row r="25" spans="1:4" s="31" customFormat="1" x14ac:dyDescent="0.2">
      <c r="A25" s="41" t="s">
        <v>218</v>
      </c>
      <c r="B25" s="41" t="s">
        <v>208</v>
      </c>
      <c r="C25" s="43" t="s">
        <v>204</v>
      </c>
      <c r="D25" s="46">
        <f>'Rate Design'!F29</f>
        <v>8.208E-2</v>
      </c>
    </row>
    <row r="26" spans="1:4" s="31" customFormat="1" x14ac:dyDescent="0.2">
      <c r="A26" s="41" t="s">
        <v>218</v>
      </c>
      <c r="B26" s="41" t="s">
        <v>208</v>
      </c>
      <c r="C26" s="43" t="s">
        <v>205</v>
      </c>
      <c r="D26" s="46">
        <f>'Rate Design'!F30</f>
        <v>4.9599999999999998E-2</v>
      </c>
    </row>
    <row r="27" spans="1:4" s="31" customFormat="1" x14ac:dyDescent="0.2">
      <c r="A27" s="41" t="s">
        <v>218</v>
      </c>
      <c r="B27" s="41" t="s">
        <v>208</v>
      </c>
      <c r="C27" s="43" t="s">
        <v>206</v>
      </c>
      <c r="D27" s="46">
        <f>'Rate Design'!F31</f>
        <v>3.1559999999999998E-2</v>
      </c>
    </row>
    <row r="28" spans="1:4" s="31" customFormat="1" x14ac:dyDescent="0.2">
      <c r="A28" s="41" t="s">
        <v>218</v>
      </c>
      <c r="B28" s="41" t="s">
        <v>208</v>
      </c>
      <c r="C28" s="43" t="s">
        <v>209</v>
      </c>
      <c r="D28" s="46">
        <f>'Rate Design'!F32</f>
        <v>2.0240000000000001E-2</v>
      </c>
    </row>
    <row r="29" spans="1:4" s="31" customFormat="1" x14ac:dyDescent="0.2">
      <c r="A29" s="41" t="s">
        <v>218</v>
      </c>
      <c r="B29" s="41" t="s">
        <v>208</v>
      </c>
      <c r="C29" s="43" t="s">
        <v>210</v>
      </c>
      <c r="D29" s="46">
        <f>'Rate Design'!F33</f>
        <v>1.457E-2</v>
      </c>
    </row>
    <row r="30" spans="1:4" s="31" customFormat="1" x14ac:dyDescent="0.2">
      <c r="A30" s="42" t="s">
        <v>218</v>
      </c>
      <c r="B30" s="42" t="s">
        <v>208</v>
      </c>
      <c r="C30" s="44" t="s">
        <v>211</v>
      </c>
      <c r="D30" s="48">
        <f>'Rate Design'!F34</f>
        <v>2.7799999999999999E-3</v>
      </c>
    </row>
    <row r="31" spans="1:4" s="31" customFormat="1" x14ac:dyDescent="0.2">
      <c r="A31" s="37"/>
      <c r="B31" s="37"/>
      <c r="C31" s="39"/>
    </row>
    <row r="32" spans="1:4" s="31" customFormat="1" x14ac:dyDescent="0.2">
      <c r="A32" s="38"/>
      <c r="B32" s="39"/>
      <c r="C32" s="39"/>
    </row>
    <row r="33" spans="1:1" s="31" customFormat="1" x14ac:dyDescent="0.2">
      <c r="A33" s="27"/>
    </row>
    <row r="34" spans="1:1" s="31" customFormat="1" x14ac:dyDescent="0.2">
      <c r="A34" s="40"/>
    </row>
  </sheetData>
  <mergeCells count="1">
    <mergeCell ref="B6:C6"/>
  </mergeCells>
  <printOptions horizontalCentered="1"/>
  <pageMargins left="0.45" right="0.45" top="0.75" bottom="0.83" header="0.3" footer="0.3"/>
  <pageSetup orientation="landscape" r:id="rId1"/>
  <headerFooter alignWithMargins="0"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90" zoomScaleNormal="90" workbookViewId="0">
      <selection activeCell="E39" sqref="E39"/>
    </sheetView>
  </sheetViews>
  <sheetFormatPr defaultColWidth="9.140625" defaultRowHeight="12.75" x14ac:dyDescent="0.2"/>
  <cols>
    <col min="1" max="1" width="4.42578125" style="73" customWidth="1"/>
    <col min="2" max="2" width="27.5703125" style="73" customWidth="1"/>
    <col min="3" max="3" width="11.5703125" style="73" customWidth="1"/>
    <col min="4" max="5" width="15.7109375" style="73" customWidth="1"/>
    <col min="6" max="7" width="13.42578125" style="73" customWidth="1"/>
    <col min="8" max="16384" width="9.140625" style="73"/>
  </cols>
  <sheetData>
    <row r="1" spans="1:7" ht="15" customHeight="1" x14ac:dyDescent="0.2">
      <c r="A1" s="71" t="s">
        <v>0</v>
      </c>
      <c r="B1" s="72"/>
      <c r="C1" s="72"/>
    </row>
    <row r="2" spans="1:7" ht="15" customHeight="1" x14ac:dyDescent="0.2">
      <c r="A2" s="71" t="s">
        <v>37</v>
      </c>
      <c r="B2" s="14"/>
      <c r="C2" s="14"/>
    </row>
    <row r="3" spans="1:7" ht="15" customHeight="1" x14ac:dyDescent="0.2">
      <c r="A3" s="71" t="s">
        <v>246</v>
      </c>
      <c r="B3" s="72"/>
      <c r="C3" s="72"/>
    </row>
    <row r="4" spans="1:7" ht="15" customHeight="1" x14ac:dyDescent="0.2">
      <c r="A4" s="71" t="str">
        <f>'Rate Spread'!A4</f>
        <v>Proposed Rates Effective May 11, 2024</v>
      </c>
      <c r="B4" s="72"/>
      <c r="C4" s="72"/>
    </row>
    <row r="5" spans="1:7" ht="15" customHeight="1" x14ac:dyDescent="0.2">
      <c r="A5" s="71"/>
      <c r="B5" s="72"/>
      <c r="C5" s="72"/>
    </row>
    <row r="6" spans="1:7" ht="15" customHeight="1" x14ac:dyDescent="0.2">
      <c r="A6" s="74"/>
      <c r="B6" s="74"/>
      <c r="C6" s="74"/>
      <c r="D6" s="77" t="s">
        <v>224</v>
      </c>
      <c r="E6" s="76" t="s">
        <v>222</v>
      </c>
      <c r="F6" s="74"/>
      <c r="G6" s="344" t="s">
        <v>364</v>
      </c>
    </row>
    <row r="7" spans="1:7" ht="15" customHeight="1" x14ac:dyDescent="0.2">
      <c r="A7" s="74"/>
      <c r="B7" s="75"/>
      <c r="C7" s="75"/>
      <c r="D7" s="76" t="s">
        <v>197</v>
      </c>
      <c r="E7" s="76" t="s">
        <v>223</v>
      </c>
      <c r="F7" s="75" t="s">
        <v>1</v>
      </c>
      <c r="G7" s="76" t="s">
        <v>3</v>
      </c>
    </row>
    <row r="8" spans="1:7" ht="15" customHeight="1" x14ac:dyDescent="0.2">
      <c r="A8" s="77" t="s">
        <v>21</v>
      </c>
      <c r="B8" s="75"/>
      <c r="C8" s="75"/>
      <c r="D8" s="76" t="s">
        <v>2</v>
      </c>
      <c r="E8" s="77" t="s">
        <v>255</v>
      </c>
      <c r="F8" s="75" t="s">
        <v>3</v>
      </c>
      <c r="G8" s="76" t="s">
        <v>365</v>
      </c>
    </row>
    <row r="9" spans="1:7" ht="15" customHeight="1" x14ac:dyDescent="0.2">
      <c r="A9" s="78" t="s">
        <v>22</v>
      </c>
      <c r="B9" s="78" t="s">
        <v>4</v>
      </c>
      <c r="C9" s="78" t="s">
        <v>5</v>
      </c>
      <c r="D9" s="79" t="s">
        <v>6</v>
      </c>
      <c r="E9" s="79" t="s">
        <v>256</v>
      </c>
      <c r="F9" s="78" t="s">
        <v>7</v>
      </c>
      <c r="G9" s="78" t="s">
        <v>23</v>
      </c>
    </row>
    <row r="10" spans="1:7" ht="15" customHeight="1" x14ac:dyDescent="0.2">
      <c r="B10" s="14" t="s">
        <v>17</v>
      </c>
      <c r="C10" s="14" t="s">
        <v>18</v>
      </c>
      <c r="D10" s="52" t="s">
        <v>19</v>
      </c>
      <c r="E10" s="80" t="s">
        <v>20</v>
      </c>
      <c r="F10" s="80" t="s">
        <v>366</v>
      </c>
      <c r="G10" s="80" t="s">
        <v>367</v>
      </c>
    </row>
    <row r="11" spans="1:7" ht="15" customHeight="1" x14ac:dyDescent="0.2">
      <c r="A11" s="14">
        <v>1</v>
      </c>
      <c r="B11" s="73" t="s">
        <v>8</v>
      </c>
      <c r="C11" s="14" t="s">
        <v>9</v>
      </c>
      <c r="D11" s="84">
        <f>'Rate Spread'!E11</f>
        <v>29889895.609877095</v>
      </c>
      <c r="E11" s="342">
        <f>SUM('RY#2 Therms'!N36:N38)</f>
        <v>639473381</v>
      </c>
      <c r="F11" s="345">
        <f>ROUND(D11/E11,5)</f>
        <v>4.6739999999999997E-2</v>
      </c>
      <c r="G11" s="346">
        <f>ROUND(F11*19,2)</f>
        <v>0.89</v>
      </c>
    </row>
    <row r="12" spans="1:7" ht="15" customHeight="1" x14ac:dyDescent="0.2">
      <c r="A12" s="14">
        <f>A11+1</f>
        <v>2</v>
      </c>
      <c r="B12" s="73" t="s">
        <v>10</v>
      </c>
      <c r="C12" s="14">
        <v>31</v>
      </c>
      <c r="D12" s="84">
        <f>'Rate Spread'!E12</f>
        <v>9759878.8206437621</v>
      </c>
      <c r="E12" s="342">
        <f>'RY#2 Therms'!N39</f>
        <v>245936243</v>
      </c>
      <c r="F12" s="345">
        <f t="shared" ref="F12" si="0">ROUND(D12/E12,5)</f>
        <v>3.968E-2</v>
      </c>
      <c r="G12" s="85"/>
    </row>
    <row r="13" spans="1:7" ht="15" customHeight="1" x14ac:dyDescent="0.2">
      <c r="A13" s="14">
        <f t="shared" ref="A13:A36" si="1">A12+1</f>
        <v>3</v>
      </c>
      <c r="C13" s="14"/>
      <c r="D13" s="84"/>
      <c r="E13" s="342"/>
      <c r="F13" s="345"/>
      <c r="G13" s="85"/>
    </row>
    <row r="14" spans="1:7" ht="15" customHeight="1" x14ac:dyDescent="0.2">
      <c r="A14" s="14">
        <f t="shared" si="1"/>
        <v>4</v>
      </c>
      <c r="B14" s="73" t="s">
        <v>11</v>
      </c>
      <c r="C14" s="14">
        <v>41</v>
      </c>
      <c r="D14" s="84"/>
      <c r="E14" s="342"/>
      <c r="F14" s="345"/>
      <c r="G14" s="85"/>
    </row>
    <row r="15" spans="1:7" ht="15" customHeight="1" x14ac:dyDescent="0.2">
      <c r="A15" s="14">
        <f t="shared" si="1"/>
        <v>5</v>
      </c>
      <c r="B15" s="73" t="s">
        <v>233</v>
      </c>
      <c r="C15" s="14">
        <v>41</v>
      </c>
      <c r="D15" s="84">
        <f>'Rate Spread (Blocks)'!I12</f>
        <v>385258.30443811754</v>
      </c>
      <c r="E15" s="342">
        <f>'Rate Spread (Blocks)'!D12</f>
        <v>13204762.568891775</v>
      </c>
      <c r="F15" s="345">
        <f t="shared" ref="F15:F17" si="2">ROUND(D15/E15,5)</f>
        <v>2.9180000000000001E-2</v>
      </c>
      <c r="G15" s="85"/>
    </row>
    <row r="16" spans="1:7" ht="15" customHeight="1" x14ac:dyDescent="0.2">
      <c r="A16" s="14">
        <f t="shared" si="1"/>
        <v>6</v>
      </c>
      <c r="B16" s="73" t="s">
        <v>234</v>
      </c>
      <c r="C16" s="14">
        <v>41</v>
      </c>
      <c r="D16" s="84">
        <f>'Rate Spread (Blocks)'!I13</f>
        <v>863320.36803584476</v>
      </c>
      <c r="E16" s="342">
        <f>'Rate Spread (Blocks)'!D13</f>
        <v>29590375.242762744</v>
      </c>
      <c r="F16" s="345">
        <f t="shared" si="2"/>
        <v>2.9180000000000001E-2</v>
      </c>
      <c r="G16" s="85"/>
    </row>
    <row r="17" spans="1:7" ht="15" customHeight="1" x14ac:dyDescent="0.2">
      <c r="A17" s="14">
        <f t="shared" si="1"/>
        <v>7</v>
      </c>
      <c r="B17" s="73" t="s">
        <v>243</v>
      </c>
      <c r="C17" s="14">
        <v>41</v>
      </c>
      <c r="D17" s="84">
        <f>'Rate Spread (Blocks)'!I14</f>
        <v>607804.05029824434</v>
      </c>
      <c r="E17" s="342">
        <f>'Rate Spread (Blocks)'!D14</f>
        <v>24095403.188345484</v>
      </c>
      <c r="F17" s="345">
        <f t="shared" si="2"/>
        <v>2.5219999999999999E-2</v>
      </c>
      <c r="G17" s="85"/>
    </row>
    <row r="18" spans="1:7" ht="15" customHeight="1" x14ac:dyDescent="0.2">
      <c r="A18" s="14">
        <f t="shared" si="1"/>
        <v>8</v>
      </c>
      <c r="C18" s="14"/>
      <c r="D18" s="84"/>
      <c r="E18" s="342"/>
      <c r="F18" s="345"/>
      <c r="G18" s="85"/>
    </row>
    <row r="19" spans="1:7" ht="15" customHeight="1" x14ac:dyDescent="0.2">
      <c r="A19" s="14">
        <f t="shared" si="1"/>
        <v>9</v>
      </c>
      <c r="B19" s="73" t="s">
        <v>12</v>
      </c>
      <c r="C19" s="14">
        <v>85</v>
      </c>
      <c r="D19" s="84"/>
      <c r="E19" s="342"/>
      <c r="F19" s="345"/>
      <c r="G19" s="85"/>
    </row>
    <row r="20" spans="1:7" ht="15" customHeight="1" x14ac:dyDescent="0.2">
      <c r="A20" s="14">
        <f t="shared" si="1"/>
        <v>10</v>
      </c>
      <c r="B20" s="73" t="s">
        <v>235</v>
      </c>
      <c r="C20" s="14">
        <v>85</v>
      </c>
      <c r="D20" s="84">
        <f>'Rate Spread (Blocks)'!I18</f>
        <v>323148.76709733519</v>
      </c>
      <c r="E20" s="342">
        <f>'Rate Spread (Blocks)'!D18</f>
        <v>4513873.5650214646</v>
      </c>
      <c r="F20" s="345">
        <f t="shared" ref="F20:F22" si="3">ROUND(D20/E20,5)</f>
        <v>7.1590000000000001E-2</v>
      </c>
      <c r="G20" s="85"/>
    </row>
    <row r="21" spans="1:7" ht="15" customHeight="1" x14ac:dyDescent="0.2">
      <c r="A21" s="14">
        <f t="shared" si="1"/>
        <v>11</v>
      </c>
      <c r="B21" s="73" t="s">
        <v>236</v>
      </c>
      <c r="C21" s="14">
        <v>85</v>
      </c>
      <c r="D21" s="84">
        <f>'Rate Spread (Blocks)'!I19</f>
        <v>84328.142517324159</v>
      </c>
      <c r="E21" s="342">
        <f>'Rate Spread (Blocks)'!D19</f>
        <v>2478939.5524124894</v>
      </c>
      <c r="F21" s="345">
        <f t="shared" si="3"/>
        <v>3.4020000000000002E-2</v>
      </c>
      <c r="G21" s="85"/>
    </row>
    <row r="22" spans="1:7" ht="15" customHeight="1" x14ac:dyDescent="0.2">
      <c r="A22" s="14">
        <f t="shared" si="1"/>
        <v>12</v>
      </c>
      <c r="B22" s="73" t="s">
        <v>242</v>
      </c>
      <c r="C22" s="14">
        <v>85</v>
      </c>
      <c r="D22" s="84">
        <f>'Rate Spread (Blocks)'!I20</f>
        <v>122125.60968656096</v>
      </c>
      <c r="E22" s="342">
        <f>'Rate Spread (Blocks)'!D20</f>
        <v>3752564.882566046</v>
      </c>
      <c r="F22" s="345">
        <f t="shared" si="3"/>
        <v>3.2539999999999999E-2</v>
      </c>
      <c r="G22" s="85"/>
    </row>
    <row r="23" spans="1:7" ht="15" customHeight="1" x14ac:dyDescent="0.2">
      <c r="A23" s="14">
        <f t="shared" si="1"/>
        <v>13</v>
      </c>
      <c r="C23" s="14"/>
      <c r="D23" s="84"/>
      <c r="E23" s="342"/>
      <c r="F23" s="345"/>
      <c r="G23" s="85"/>
    </row>
    <row r="24" spans="1:7" ht="15" customHeight="1" x14ac:dyDescent="0.2">
      <c r="A24" s="14">
        <f t="shared" si="1"/>
        <v>14</v>
      </c>
      <c r="B24" s="73" t="s">
        <v>13</v>
      </c>
      <c r="C24" s="14">
        <v>86</v>
      </c>
      <c r="D24" s="84"/>
      <c r="E24" s="342"/>
      <c r="F24" s="345"/>
      <c r="G24" s="85"/>
    </row>
    <row r="25" spans="1:7" ht="15" customHeight="1" x14ac:dyDescent="0.2">
      <c r="A25" s="14">
        <f t="shared" si="1"/>
        <v>15</v>
      </c>
      <c r="B25" s="73" t="s">
        <v>240</v>
      </c>
      <c r="C25" s="14">
        <v>86</v>
      </c>
      <c r="D25" s="84">
        <f>'Rate Spread (Blocks)'!I24</f>
        <v>55063.123361958904</v>
      </c>
      <c r="E25" s="342">
        <f>'Rate Spread (Blocks)'!D24</f>
        <v>1009396.7998300681</v>
      </c>
      <c r="F25" s="345">
        <f t="shared" ref="F25:F26" si="4">ROUND(D25/E25,5)</f>
        <v>5.4550000000000001E-2</v>
      </c>
      <c r="G25" s="85"/>
    </row>
    <row r="26" spans="1:7" ht="15" customHeight="1" x14ac:dyDescent="0.2">
      <c r="A26" s="14">
        <f t="shared" si="1"/>
        <v>16</v>
      </c>
      <c r="B26" s="73" t="s">
        <v>241</v>
      </c>
      <c r="C26" s="14">
        <v>86</v>
      </c>
      <c r="D26" s="84">
        <f>'Rate Spread (Blocks)'!I25</f>
        <v>173250.61380657685</v>
      </c>
      <c r="E26" s="342">
        <f>'Rate Spread (Blocks)'!D25</f>
        <v>4480011.2001699321</v>
      </c>
      <c r="F26" s="345">
        <f t="shared" si="4"/>
        <v>3.8670000000000003E-2</v>
      </c>
      <c r="G26" s="85"/>
    </row>
    <row r="27" spans="1:7" ht="15" customHeight="1" x14ac:dyDescent="0.2">
      <c r="A27" s="14">
        <f t="shared" si="1"/>
        <v>17</v>
      </c>
      <c r="C27" s="14"/>
      <c r="D27" s="84"/>
      <c r="E27" s="342"/>
      <c r="F27" s="345"/>
      <c r="G27" s="85"/>
    </row>
    <row r="28" spans="1:7" ht="15" customHeight="1" x14ac:dyDescent="0.2">
      <c r="A28" s="14">
        <f t="shared" si="1"/>
        <v>18</v>
      </c>
      <c r="B28" s="73" t="s">
        <v>14</v>
      </c>
      <c r="C28" s="14">
        <v>87</v>
      </c>
      <c r="D28" s="84"/>
      <c r="E28" s="342"/>
      <c r="F28" s="345"/>
      <c r="G28" s="85"/>
    </row>
    <row r="29" spans="1:7" ht="15" customHeight="1" x14ac:dyDescent="0.2">
      <c r="A29" s="14">
        <f t="shared" si="1"/>
        <v>19</v>
      </c>
      <c r="B29" s="73" t="s">
        <v>235</v>
      </c>
      <c r="C29" s="14">
        <v>87</v>
      </c>
      <c r="D29" s="84">
        <f>'Rate Spread (Blocks)'!I30</f>
        <v>124122.61914542242</v>
      </c>
      <c r="E29" s="342">
        <f>'Rate Spread (Blocks)'!D30</f>
        <v>1512193</v>
      </c>
      <c r="F29" s="345">
        <f>ROUND(D29/E29,5)</f>
        <v>8.208E-2</v>
      </c>
      <c r="G29" s="85"/>
    </row>
    <row r="30" spans="1:7" ht="15" customHeight="1" x14ac:dyDescent="0.2">
      <c r="A30" s="14">
        <f t="shared" si="1"/>
        <v>20</v>
      </c>
      <c r="B30" s="73" t="s">
        <v>236</v>
      </c>
      <c r="C30" s="14">
        <v>87</v>
      </c>
      <c r="D30" s="84">
        <f>'Rate Spread (Blocks)'!I31</f>
        <v>69340.201572360485</v>
      </c>
      <c r="E30" s="342">
        <f>'Rate Spread (Blocks)'!D31</f>
        <v>1398016.115</v>
      </c>
      <c r="F30" s="345">
        <f t="shared" ref="F30:F34" si="5">ROUND(D30/E30,5)</f>
        <v>4.9599999999999998E-2</v>
      </c>
      <c r="G30" s="85"/>
    </row>
    <row r="31" spans="1:7" ht="15" customHeight="1" x14ac:dyDescent="0.2">
      <c r="A31" s="14">
        <f t="shared" si="1"/>
        <v>21</v>
      </c>
      <c r="B31" s="73" t="s">
        <v>237</v>
      </c>
      <c r="C31" s="14">
        <v>87</v>
      </c>
      <c r="D31" s="84">
        <f>'Rate Spread (Blocks)'!I32</f>
        <v>73131.418867513188</v>
      </c>
      <c r="E31" s="342">
        <f>'Rate Spread (Blocks)'!D32</f>
        <v>2316890.0959999999</v>
      </c>
      <c r="F31" s="345">
        <f t="shared" si="5"/>
        <v>3.1559999999999998E-2</v>
      </c>
      <c r="G31" s="85"/>
    </row>
    <row r="32" spans="1:7" ht="15" customHeight="1" x14ac:dyDescent="0.2">
      <c r="A32" s="14">
        <f t="shared" si="1"/>
        <v>22</v>
      </c>
      <c r="B32" s="73" t="s">
        <v>209</v>
      </c>
      <c r="C32" s="14">
        <v>87</v>
      </c>
      <c r="D32" s="84">
        <f>'Rate Spread (Blocks)'!I33</f>
        <v>61628.440041150119</v>
      </c>
      <c r="E32" s="342">
        <f>'Rate Spread (Blocks)'!D33</f>
        <v>3045256.878</v>
      </c>
      <c r="F32" s="345">
        <f t="shared" si="5"/>
        <v>2.0240000000000001E-2</v>
      </c>
      <c r="G32" s="85"/>
    </row>
    <row r="33" spans="1:7" ht="15" customHeight="1" x14ac:dyDescent="0.2">
      <c r="A33" s="14">
        <f t="shared" si="1"/>
        <v>23</v>
      </c>
      <c r="B33" s="73" t="s">
        <v>210</v>
      </c>
      <c r="C33" s="14">
        <v>87</v>
      </c>
      <c r="D33" s="84">
        <f>'Rate Spread (Blocks)'!I34</f>
        <v>55235.259613845352</v>
      </c>
      <c r="E33" s="342">
        <f>'Rate Spread (Blocks)'!D34</f>
        <v>3792042.2029999997</v>
      </c>
      <c r="F33" s="345">
        <f t="shared" si="5"/>
        <v>1.457E-2</v>
      </c>
      <c r="G33" s="85"/>
    </row>
    <row r="34" spans="1:7" ht="15" customHeight="1" x14ac:dyDescent="0.2">
      <c r="A34" s="14">
        <f t="shared" si="1"/>
        <v>24</v>
      </c>
      <c r="B34" s="73" t="s">
        <v>238</v>
      </c>
      <c r="C34" s="14">
        <v>87</v>
      </c>
      <c r="D34" s="84">
        <f>'Rate Spread (Blocks)'!I35</f>
        <v>27080.033014159693</v>
      </c>
      <c r="E34" s="342">
        <f>'Rate Spread (Blocks)'!D35</f>
        <v>9755057.4703552071</v>
      </c>
      <c r="F34" s="345">
        <f t="shared" si="5"/>
        <v>2.7799999999999999E-3</v>
      </c>
      <c r="G34" s="85"/>
    </row>
    <row r="35" spans="1:7" ht="15" customHeight="1" x14ac:dyDescent="0.2">
      <c r="A35" s="14">
        <f t="shared" si="1"/>
        <v>25</v>
      </c>
      <c r="C35" s="14"/>
      <c r="D35" s="84"/>
      <c r="E35" s="342"/>
      <c r="F35" s="345"/>
      <c r="G35" s="85"/>
    </row>
    <row r="36" spans="1:7" ht="15" customHeight="1" x14ac:dyDescent="0.2">
      <c r="A36" s="14">
        <f t="shared" si="1"/>
        <v>26</v>
      </c>
      <c r="B36" s="73" t="s">
        <v>16</v>
      </c>
      <c r="D36" s="83">
        <f>SUM(D11:D34)</f>
        <v>42674611.382017255</v>
      </c>
      <c r="E36" s="347">
        <f>SUM(E11:E34)</f>
        <v>990354406.76235521</v>
      </c>
      <c r="F36" s="85"/>
      <c r="G36" s="85"/>
    </row>
    <row r="37" spans="1:7" ht="15" customHeight="1" x14ac:dyDescent="0.2">
      <c r="A37" s="14"/>
    </row>
    <row r="38" spans="1:7" x14ac:dyDescent="0.2">
      <c r="C38" s="85"/>
    </row>
  </sheetData>
  <printOptions horizontalCentered="1"/>
  <pageMargins left="0.45" right="0.45" top="0.75" bottom="0.75" header="0.3" footer="0.3"/>
  <pageSetup scale="78" orientation="landscape" blackAndWhite="1" r:id="rId1"/>
  <headerFooter>
    <oddFooter>&amp;R&amp;A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90" zoomScaleNormal="90" workbookViewId="0">
      <pane ySplit="9" topLeftCell="A10" activePane="bottomLeft" state="frozen"/>
      <selection activeCell="P36" sqref="P36"/>
      <selection pane="bottomLeft" activeCell="H39" sqref="H39"/>
    </sheetView>
  </sheetViews>
  <sheetFormatPr defaultColWidth="8.85546875" defaultRowHeight="12.75" x14ac:dyDescent="0.2"/>
  <cols>
    <col min="1" max="1" width="4.5703125" style="5" customWidth="1"/>
    <col min="2" max="2" width="3.140625" style="5" customWidth="1"/>
    <col min="3" max="3" width="25.7109375" style="5" customWidth="1"/>
    <col min="4" max="4" width="13.7109375" style="5" customWidth="1"/>
    <col min="5" max="5" width="13.28515625" style="5" customWidth="1"/>
    <col min="6" max="7" width="14.5703125" style="5" bestFit="1" customWidth="1"/>
    <col min="8" max="8" width="11.28515625" style="5" bestFit="1" customWidth="1"/>
    <col min="9" max="9" width="13.28515625" style="5" bestFit="1" customWidth="1"/>
    <col min="10" max="10" width="9.42578125" style="5" customWidth="1"/>
    <col min="11" max="16384" width="8.85546875" style="5"/>
  </cols>
  <sheetData>
    <row r="1" spans="1:9" x14ac:dyDescent="0.2">
      <c r="A1" s="71" t="s">
        <v>0</v>
      </c>
      <c r="B1" s="65"/>
      <c r="C1" s="65"/>
      <c r="D1" s="65"/>
      <c r="E1" s="65"/>
      <c r="F1" s="65"/>
      <c r="G1" s="65"/>
      <c r="H1" s="65"/>
      <c r="I1" s="65"/>
    </row>
    <row r="2" spans="1:9" x14ac:dyDescent="0.2">
      <c r="A2" s="71" t="s">
        <v>37</v>
      </c>
      <c r="B2" s="52"/>
      <c r="C2" s="52"/>
      <c r="D2" s="52"/>
      <c r="E2" s="52"/>
      <c r="F2" s="52"/>
      <c r="G2" s="52"/>
      <c r="H2" s="52"/>
      <c r="I2" s="52"/>
    </row>
    <row r="3" spans="1:9" x14ac:dyDescent="0.2">
      <c r="A3" s="71" t="s">
        <v>368</v>
      </c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71" t="str">
        <f>'Rate Spread'!A4</f>
        <v>Proposed Rates Effective May 11, 2024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71"/>
      <c r="B5" s="53"/>
      <c r="C5" s="53"/>
      <c r="D5" s="53"/>
      <c r="E5" s="53"/>
      <c r="F5" s="53"/>
      <c r="G5" s="53"/>
      <c r="H5" s="53"/>
      <c r="I5" s="53"/>
    </row>
    <row r="6" spans="1:9" x14ac:dyDescent="0.2">
      <c r="D6" s="66" t="s">
        <v>222</v>
      </c>
      <c r="I6" s="66" t="s">
        <v>224</v>
      </c>
    </row>
    <row r="7" spans="1:9" x14ac:dyDescent="0.2">
      <c r="A7" s="28"/>
      <c r="B7" s="28"/>
      <c r="C7" s="28"/>
      <c r="D7" s="66" t="s">
        <v>223</v>
      </c>
      <c r="E7" s="66"/>
      <c r="F7" s="66"/>
      <c r="G7" s="66" t="s">
        <v>224</v>
      </c>
      <c r="H7" s="66"/>
      <c r="I7" s="66" t="s">
        <v>197</v>
      </c>
    </row>
    <row r="8" spans="1:9" x14ac:dyDescent="0.2">
      <c r="A8" s="28" t="s">
        <v>21</v>
      </c>
      <c r="B8" s="28"/>
      <c r="C8" s="28"/>
      <c r="D8" s="69" t="s">
        <v>255</v>
      </c>
      <c r="E8" s="66" t="s">
        <v>222</v>
      </c>
      <c r="F8" s="66" t="s">
        <v>254</v>
      </c>
      <c r="G8" s="66" t="s">
        <v>2</v>
      </c>
      <c r="H8" s="66" t="s">
        <v>239</v>
      </c>
      <c r="I8" s="66" t="s">
        <v>2</v>
      </c>
    </row>
    <row r="9" spans="1:9" x14ac:dyDescent="0.2">
      <c r="A9" s="67" t="s">
        <v>22</v>
      </c>
      <c r="B9" s="397" t="s">
        <v>215</v>
      </c>
      <c r="C9" s="397"/>
      <c r="D9" s="66" t="s">
        <v>256</v>
      </c>
      <c r="E9" s="30" t="s">
        <v>363</v>
      </c>
      <c r="F9" s="30" t="s">
        <v>2</v>
      </c>
      <c r="G9" s="30" t="s">
        <v>6</v>
      </c>
      <c r="H9" s="30" t="s">
        <v>225</v>
      </c>
      <c r="I9" s="30" t="s">
        <v>6</v>
      </c>
    </row>
    <row r="10" spans="1:9" x14ac:dyDescent="0.2">
      <c r="A10" s="26"/>
      <c r="B10" s="51"/>
      <c r="C10" s="51" t="s">
        <v>17</v>
      </c>
      <c r="D10" s="70" t="s">
        <v>18</v>
      </c>
      <c r="E10" s="52" t="s">
        <v>19</v>
      </c>
      <c r="F10" s="51" t="s">
        <v>20</v>
      </c>
      <c r="G10" s="363" t="s">
        <v>213</v>
      </c>
      <c r="H10" s="51" t="s">
        <v>244</v>
      </c>
      <c r="I10" s="51" t="s">
        <v>245</v>
      </c>
    </row>
    <row r="11" spans="1:9" x14ac:dyDescent="0.2">
      <c r="A11" s="51">
        <v>1</v>
      </c>
      <c r="B11" s="5" t="s">
        <v>250</v>
      </c>
      <c r="D11" s="54"/>
      <c r="E11" s="55"/>
    </row>
    <row r="12" spans="1:9" x14ac:dyDescent="0.2">
      <c r="A12" s="51">
        <f t="shared" ref="A12:A36" si="0">A11+1</f>
        <v>2</v>
      </c>
      <c r="C12" s="5" t="s">
        <v>233</v>
      </c>
      <c r="D12" s="362">
        <f>SUM('RY#2 Therms By Block'!N9,'RY#2 Therms By Block'!N16)</f>
        <v>13204762.568891775</v>
      </c>
      <c r="E12" s="343">
        <f>'Exh JDT-5 (JDT-C&amp;I-RD)'!H46</f>
        <v>0.14030999999999999</v>
      </c>
      <c r="F12" s="56">
        <f t="shared" ref="F12:F14" si="1">ROUND(D12*E12,0)</f>
        <v>1852760</v>
      </c>
      <c r="H12" s="63">
        <f>$G$15/$F$15</f>
        <v>0.20793751184077675</v>
      </c>
      <c r="I12" s="56">
        <f>F12*H12</f>
        <v>385258.30443811754</v>
      </c>
    </row>
    <row r="13" spans="1:9" x14ac:dyDescent="0.2">
      <c r="A13" s="51">
        <f t="shared" si="0"/>
        <v>3</v>
      </c>
      <c r="C13" s="5" t="s">
        <v>234</v>
      </c>
      <c r="D13" s="362">
        <f>SUM('RY#2 Therms By Block'!N10,'RY#2 Therms By Block'!N17)</f>
        <v>29590375.242762744</v>
      </c>
      <c r="E13" s="343">
        <f>'Exh JDT-5 (JDT-C&amp;I-RD)'!H47</f>
        <v>0.14030999999999999</v>
      </c>
      <c r="F13" s="56">
        <f t="shared" si="1"/>
        <v>4151826</v>
      </c>
      <c r="H13" s="63">
        <f t="shared" ref="H13:H14" si="2">$G$15/$F$15</f>
        <v>0.20793751184077675</v>
      </c>
      <c r="I13" s="56">
        <f t="shared" ref="I13:I14" si="3">F13*H13</f>
        <v>863320.36803584476</v>
      </c>
    </row>
    <row r="14" spans="1:9" x14ac:dyDescent="0.2">
      <c r="A14" s="51">
        <f t="shared" si="0"/>
        <v>4</v>
      </c>
      <c r="C14" s="5" t="s">
        <v>243</v>
      </c>
      <c r="D14" s="362">
        <f>SUM('RY#2 Therms By Block'!N11,'RY#2 Therms By Block'!N18)</f>
        <v>24095403.188345484</v>
      </c>
      <c r="E14" s="343">
        <f>'Exh JDT-5 (JDT-C&amp;I-RD)'!H48</f>
        <v>0.12131</v>
      </c>
      <c r="F14" s="56">
        <f t="shared" si="1"/>
        <v>2923013</v>
      </c>
      <c r="H14" s="63">
        <f t="shared" si="2"/>
        <v>0.20793751184077675</v>
      </c>
      <c r="I14" s="56">
        <f t="shared" si="3"/>
        <v>607804.05029824434</v>
      </c>
    </row>
    <row r="15" spans="1:9" x14ac:dyDescent="0.2">
      <c r="A15" s="51">
        <f t="shared" si="0"/>
        <v>5</v>
      </c>
      <c r="C15" s="5" t="s">
        <v>16</v>
      </c>
      <c r="D15" s="59">
        <f>SUM(D12:D14)</f>
        <v>66890541.000000007</v>
      </c>
      <c r="E15" s="64"/>
      <c r="F15" s="57">
        <f>SUM(F12:F14)</f>
        <v>8927599</v>
      </c>
      <c r="G15" s="60">
        <f>'Rate Spread'!E13</f>
        <v>1856382.7227722066</v>
      </c>
      <c r="H15" s="63">
        <f>$G$15/$F$15</f>
        <v>0.20793751184077675</v>
      </c>
      <c r="I15" s="57">
        <f>SUM(I12:I14)</f>
        <v>1856382.7227722066</v>
      </c>
    </row>
    <row r="16" spans="1:9" x14ac:dyDescent="0.2">
      <c r="A16" s="51">
        <f t="shared" si="0"/>
        <v>6</v>
      </c>
    </row>
    <row r="17" spans="1:10" x14ac:dyDescent="0.2">
      <c r="A17" s="51">
        <f t="shared" si="0"/>
        <v>7</v>
      </c>
      <c r="B17" s="5" t="s">
        <v>251</v>
      </c>
      <c r="D17" s="54"/>
      <c r="E17" s="55"/>
    </row>
    <row r="18" spans="1:10" x14ac:dyDescent="0.2">
      <c r="A18" s="51">
        <f t="shared" si="0"/>
        <v>8</v>
      </c>
      <c r="C18" s="5" t="s">
        <v>235</v>
      </c>
      <c r="D18" s="362">
        <f>SUM('RY#2 Therms By Block'!N37,'RY#2 Therms By Block'!N44)</f>
        <v>4513873.5650214646</v>
      </c>
      <c r="E18" s="343">
        <f>'Exh JDT-5 (JDT-INTRPL-RD)'!H33</f>
        <v>0.12488</v>
      </c>
      <c r="F18" s="56">
        <f t="shared" ref="F18:F20" si="4">ROUND(D18*E18,0)</f>
        <v>563693</v>
      </c>
      <c r="H18" s="63">
        <f t="shared" ref="H18:H20" si="5">$G$21/$F$21</f>
        <v>0.57327085327888616</v>
      </c>
      <c r="I18" s="56">
        <f>F18*H18</f>
        <v>323148.76709733519</v>
      </c>
    </row>
    <row r="19" spans="1:10" x14ac:dyDescent="0.2">
      <c r="A19" s="51">
        <f t="shared" si="0"/>
        <v>9</v>
      </c>
      <c r="C19" s="5" t="s">
        <v>236</v>
      </c>
      <c r="D19" s="362">
        <f>SUM('RY#2 Therms By Block'!N38,'RY#2 Therms By Block'!N45)</f>
        <v>2478939.5524124894</v>
      </c>
      <c r="E19" s="343">
        <f>'Exh JDT-5 (JDT-INTRPL-RD)'!H34</f>
        <v>5.9339999999999997E-2</v>
      </c>
      <c r="F19" s="56">
        <f t="shared" si="4"/>
        <v>147100</v>
      </c>
      <c r="H19" s="63">
        <f t="shared" si="5"/>
        <v>0.57327085327888616</v>
      </c>
      <c r="I19" s="56">
        <f t="shared" ref="I19:I20" si="6">F19*H19</f>
        <v>84328.142517324159</v>
      </c>
    </row>
    <row r="20" spans="1:10" x14ac:dyDescent="0.2">
      <c r="A20" s="51">
        <f t="shared" si="0"/>
        <v>10</v>
      </c>
      <c r="C20" s="5" t="s">
        <v>242</v>
      </c>
      <c r="D20" s="362">
        <f>SUM('RY#2 Therms By Block'!N39,'RY#2 Therms By Block'!N46)</f>
        <v>3752564.882566046</v>
      </c>
      <c r="E20" s="343">
        <f>'Exh JDT-5 (JDT-INTRPL-RD)'!H35</f>
        <v>5.6770000000000001E-2</v>
      </c>
      <c r="F20" s="56">
        <f t="shared" si="4"/>
        <v>213033</v>
      </c>
      <c r="H20" s="63">
        <f t="shared" si="5"/>
        <v>0.57327085327888616</v>
      </c>
      <c r="I20" s="56">
        <f t="shared" si="6"/>
        <v>122125.60968656096</v>
      </c>
    </row>
    <row r="21" spans="1:10" x14ac:dyDescent="0.2">
      <c r="A21" s="51">
        <f t="shared" si="0"/>
        <v>11</v>
      </c>
      <c r="C21" s="5" t="s">
        <v>16</v>
      </c>
      <c r="D21" s="59">
        <f>SUM(D18:D20)</f>
        <v>10745378</v>
      </c>
      <c r="E21" s="55"/>
      <c r="F21" s="57">
        <f>SUM(F18:F20)</f>
        <v>923826</v>
      </c>
      <c r="G21" s="60">
        <f>'Rate Spread'!E14</f>
        <v>529602.51930122031</v>
      </c>
      <c r="H21" s="63">
        <f>$G$21/$F$21</f>
        <v>0.57327085327888616</v>
      </c>
      <c r="I21" s="57">
        <f>SUM(I18:I20)</f>
        <v>529602.51930122031</v>
      </c>
    </row>
    <row r="22" spans="1:10" x14ac:dyDescent="0.2">
      <c r="A22" s="51">
        <f t="shared" si="0"/>
        <v>12</v>
      </c>
    </row>
    <row r="23" spans="1:10" x14ac:dyDescent="0.2">
      <c r="A23" s="51">
        <f t="shared" si="0"/>
        <v>13</v>
      </c>
      <c r="B23" s="5" t="s">
        <v>252</v>
      </c>
      <c r="D23" s="54"/>
      <c r="E23" s="55"/>
    </row>
    <row r="24" spans="1:10" x14ac:dyDescent="0.2">
      <c r="A24" s="51">
        <f t="shared" si="0"/>
        <v>14</v>
      </c>
      <c r="C24" s="5" t="s">
        <v>240</v>
      </c>
      <c r="D24" s="362">
        <f>SUM('RY#2 Therms By Block'!N65,'RY#2 Therms By Block'!N71)</f>
        <v>1009396.7998300681</v>
      </c>
      <c r="E24" s="343">
        <f>'Exh JDT-5 (JDT-INTRPL-RD)'!H65</f>
        <v>0.1951</v>
      </c>
      <c r="F24" s="56">
        <f t="shared" ref="F24:F25" si="7">ROUND(D24*E24,0)</f>
        <v>196933</v>
      </c>
      <c r="H24" s="63">
        <f t="shared" ref="H24:H25" si="8">$G$26/$F$26</f>
        <v>0.27960333393569847</v>
      </c>
      <c r="I24" s="56">
        <f>F24*H24</f>
        <v>55063.123361958904</v>
      </c>
    </row>
    <row r="25" spans="1:10" x14ac:dyDescent="0.2">
      <c r="A25" s="51">
        <f t="shared" si="0"/>
        <v>15</v>
      </c>
      <c r="C25" s="5" t="s">
        <v>241</v>
      </c>
      <c r="D25" s="362">
        <f>SUM('RY#2 Therms By Block'!N66,'RY#2 Therms By Block'!N72)</f>
        <v>4480011.2001699321</v>
      </c>
      <c r="E25" s="343">
        <f>'Exh JDT-5 (JDT-INTRPL-RD)'!H66</f>
        <v>0.13830999999999999</v>
      </c>
      <c r="F25" s="56">
        <f t="shared" si="7"/>
        <v>619630</v>
      </c>
      <c r="H25" s="63">
        <f t="shared" si="8"/>
        <v>0.27960333393569847</v>
      </c>
      <c r="I25" s="56">
        <f>F25*H25</f>
        <v>173250.61380657685</v>
      </c>
    </row>
    <row r="26" spans="1:10" x14ac:dyDescent="0.2">
      <c r="A26" s="51">
        <f t="shared" si="0"/>
        <v>16</v>
      </c>
      <c r="C26" s="5" t="s">
        <v>16</v>
      </c>
      <c r="D26" s="59">
        <f>SUM(D24:D25)</f>
        <v>5489408</v>
      </c>
      <c r="E26" s="55"/>
      <c r="F26" s="57">
        <f>SUM(F24:F25)</f>
        <v>816563</v>
      </c>
      <c r="G26" s="60">
        <f>'Rate Spread'!E15</f>
        <v>228313.73716853574</v>
      </c>
      <c r="H26" s="63">
        <f>$G$26/$F$26</f>
        <v>0.27960333393569847</v>
      </c>
      <c r="I26" s="57">
        <f>SUM(I24:I25)</f>
        <v>228313.73716853576</v>
      </c>
      <c r="J26" s="55"/>
    </row>
    <row r="27" spans="1:10" x14ac:dyDescent="0.2">
      <c r="A27" s="51">
        <f t="shared" si="0"/>
        <v>17</v>
      </c>
    </row>
    <row r="28" spans="1:10" x14ac:dyDescent="0.2">
      <c r="A28" s="51">
        <f t="shared" si="0"/>
        <v>18</v>
      </c>
      <c r="D28" s="54"/>
      <c r="E28" s="55"/>
    </row>
    <row r="29" spans="1:10" x14ac:dyDescent="0.2">
      <c r="A29" s="51">
        <f t="shared" si="0"/>
        <v>19</v>
      </c>
      <c r="B29" s="5" t="s">
        <v>253</v>
      </c>
      <c r="D29" s="54"/>
      <c r="E29" s="55"/>
    </row>
    <row r="30" spans="1:10" x14ac:dyDescent="0.2">
      <c r="A30" s="51">
        <f t="shared" si="0"/>
        <v>20</v>
      </c>
      <c r="C30" s="5" t="s">
        <v>235</v>
      </c>
      <c r="D30" s="362">
        <f>'RY#2 Therms By Block'!N89</f>
        <v>1512193</v>
      </c>
      <c r="E30" s="343">
        <f>'Exh JDT-5 (JDT-INTRPL-RD)'!H110</f>
        <v>0.20754</v>
      </c>
      <c r="F30" s="56">
        <f t="shared" ref="F30:F35" si="9">ROUND(D30*E30,0)</f>
        <v>313841</v>
      </c>
      <c r="H30" s="63">
        <f t="shared" ref="H30:H33" si="10">($G$36-$I$35)/SUM($F$30:$F$34)</f>
        <v>0.39549523212525584</v>
      </c>
      <c r="I30" s="56">
        <f>F30*H30</f>
        <v>124122.61914542242</v>
      </c>
    </row>
    <row r="31" spans="1:10" x14ac:dyDescent="0.2">
      <c r="A31" s="51">
        <f t="shared" si="0"/>
        <v>21</v>
      </c>
      <c r="C31" s="5" t="s">
        <v>236</v>
      </c>
      <c r="D31" s="362">
        <f>'RY#2 Therms By Block'!N90</f>
        <v>1398016.115</v>
      </c>
      <c r="E31" s="343">
        <f>'Exh JDT-5 (JDT-INTRPL-RD)'!H111</f>
        <v>0.12540999999999999</v>
      </c>
      <c r="F31" s="56">
        <f t="shared" si="9"/>
        <v>175325</v>
      </c>
      <c r="H31" s="63">
        <f t="shared" si="10"/>
        <v>0.39549523212525584</v>
      </c>
      <c r="I31" s="56">
        <f t="shared" ref="I31:I34" si="11">F31*H31</f>
        <v>69340.201572360485</v>
      </c>
    </row>
    <row r="32" spans="1:10" x14ac:dyDescent="0.2">
      <c r="A32" s="51">
        <f t="shared" si="0"/>
        <v>22</v>
      </c>
      <c r="C32" s="5" t="s">
        <v>237</v>
      </c>
      <c r="D32" s="362">
        <f>'RY#2 Therms By Block'!N91</f>
        <v>2316890.0959999999</v>
      </c>
      <c r="E32" s="343">
        <f>'Exh JDT-5 (JDT-INTRPL-RD)'!H112</f>
        <v>7.9810000000000006E-2</v>
      </c>
      <c r="F32" s="56">
        <f t="shared" si="9"/>
        <v>184911</v>
      </c>
      <c r="H32" s="63">
        <f t="shared" si="10"/>
        <v>0.39549523212525584</v>
      </c>
      <c r="I32" s="56">
        <f t="shared" si="11"/>
        <v>73131.418867513188</v>
      </c>
    </row>
    <row r="33" spans="1:9" x14ac:dyDescent="0.2">
      <c r="A33" s="51">
        <f t="shared" si="0"/>
        <v>23</v>
      </c>
      <c r="C33" s="5" t="s">
        <v>209</v>
      </c>
      <c r="D33" s="362">
        <f>'RY#2 Therms By Block'!N92</f>
        <v>3045256.878</v>
      </c>
      <c r="E33" s="343">
        <f>'Exh JDT-5 (JDT-INTRPL-RD)'!H113</f>
        <v>5.117E-2</v>
      </c>
      <c r="F33" s="56">
        <f t="shared" si="9"/>
        <v>155826</v>
      </c>
      <c r="H33" s="63">
        <f t="shared" si="10"/>
        <v>0.39549523212525584</v>
      </c>
      <c r="I33" s="56">
        <f t="shared" si="11"/>
        <v>61628.440041150119</v>
      </c>
    </row>
    <row r="34" spans="1:9" x14ac:dyDescent="0.2">
      <c r="A34" s="51">
        <f t="shared" si="0"/>
        <v>24</v>
      </c>
      <c r="C34" s="5" t="s">
        <v>210</v>
      </c>
      <c r="D34" s="362">
        <f>'RY#2 Therms By Block'!N93</f>
        <v>3792042.2029999997</v>
      </c>
      <c r="E34" s="343">
        <f>'Exh JDT-5 (JDT-INTRPL-RD)'!H114</f>
        <v>3.6830000000000002E-2</v>
      </c>
      <c r="F34" s="56">
        <f t="shared" si="9"/>
        <v>139661</v>
      </c>
      <c r="H34" s="63">
        <f>($G$36-$I$35)/SUM($F$30:$F$34)</f>
        <v>0.39549523212525584</v>
      </c>
      <c r="I34" s="56">
        <f t="shared" si="11"/>
        <v>55235.259613845352</v>
      </c>
    </row>
    <row r="35" spans="1:9" x14ac:dyDescent="0.2">
      <c r="A35" s="51">
        <f t="shared" si="0"/>
        <v>25</v>
      </c>
      <c r="C35" s="5" t="s">
        <v>238</v>
      </c>
      <c r="D35" s="362">
        <f>'RY#2 Therms By Block'!N94</f>
        <v>9755057.4703552071</v>
      </c>
      <c r="E35" s="343">
        <f>'Exh JDT-5 (JDT-INTRPL-RD)'!H115</f>
        <v>2.4830000000000001E-2</v>
      </c>
      <c r="F35" s="56">
        <f t="shared" si="9"/>
        <v>242218</v>
      </c>
      <c r="H35" s="63">
        <f>H36*0.33</f>
        <v>0.11180025024630579</v>
      </c>
      <c r="I35" s="56">
        <f>F35*H35</f>
        <v>27080.033014159693</v>
      </c>
    </row>
    <row r="36" spans="1:9" x14ac:dyDescent="0.2">
      <c r="A36" s="51">
        <f t="shared" si="0"/>
        <v>26</v>
      </c>
      <c r="C36" s="5" t="s">
        <v>16</v>
      </c>
      <c r="D36" s="59">
        <f>SUM(D30:D35)</f>
        <v>21819455.762355208</v>
      </c>
      <c r="E36" s="55"/>
      <c r="F36" s="57">
        <f>SUM(F30:F35)</f>
        <v>1211782</v>
      </c>
      <c r="G36" s="60">
        <f>'Rate Spread'!E16</f>
        <v>410537.97225445125</v>
      </c>
      <c r="H36" s="63">
        <f>$G$36/$F$36</f>
        <v>0.3387886371100175</v>
      </c>
      <c r="I36" s="57">
        <f>SUM(I30:I35)</f>
        <v>410537.97225445131</v>
      </c>
    </row>
    <row r="37" spans="1:9" x14ac:dyDescent="0.2">
      <c r="A37" s="51"/>
      <c r="D37" s="68"/>
      <c r="E37" s="55"/>
      <c r="F37" s="61"/>
      <c r="G37" s="60"/>
      <c r="H37" s="63"/>
      <c r="I37" s="61"/>
    </row>
  </sheetData>
  <mergeCells count="1">
    <mergeCell ref="B9:C9"/>
  </mergeCells>
  <printOptions horizontalCentered="1"/>
  <pageMargins left="0.75" right="0.75" top="1" bottom="1" header="0.5" footer="0.5"/>
  <pageSetup orientation="landscape" blackAndWhite="1" horizontalDpi="300" verticalDpi="300" r:id="rId1"/>
  <headerFooter alignWithMargins="0">
    <oddFooter>&amp;R&amp;A
 Page &amp;P of &amp;N</oddFooter>
  </headerFooter>
  <rowBreaks count="1" manualBreakCount="1">
    <brk id="3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D26" sqref="D26"/>
    </sheetView>
  </sheetViews>
  <sheetFormatPr defaultColWidth="9.140625" defaultRowHeight="12.75" x14ac:dyDescent="0.2"/>
  <cols>
    <col min="1" max="1" width="4.42578125" style="73" customWidth="1"/>
    <col min="2" max="2" width="31.28515625" style="73" customWidth="1"/>
    <col min="3" max="3" width="11.5703125" style="73" customWidth="1"/>
    <col min="4" max="4" width="14.7109375" style="73" customWidth="1"/>
    <col min="5" max="5" width="17.85546875" style="73" customWidth="1"/>
    <col min="6" max="16384" width="9.140625" style="73"/>
  </cols>
  <sheetData>
    <row r="1" spans="1:6" ht="12.75" customHeight="1" x14ac:dyDescent="0.2">
      <c r="A1" s="71" t="s">
        <v>0</v>
      </c>
      <c r="B1" s="72"/>
      <c r="C1" s="72"/>
      <c r="D1" s="72"/>
      <c r="E1" s="72"/>
    </row>
    <row r="2" spans="1:6" ht="12.75" customHeight="1" x14ac:dyDescent="0.2">
      <c r="A2" s="71" t="s">
        <v>37</v>
      </c>
      <c r="B2" s="14"/>
      <c r="C2" s="14"/>
      <c r="D2" s="14"/>
      <c r="E2" s="14"/>
    </row>
    <row r="3" spans="1:6" ht="12.75" customHeight="1" x14ac:dyDescent="0.2">
      <c r="A3" s="71" t="s">
        <v>247</v>
      </c>
      <c r="B3" s="72"/>
      <c r="C3" s="72"/>
      <c r="D3" s="72"/>
      <c r="E3" s="72"/>
    </row>
    <row r="4" spans="1:6" ht="12.75" customHeight="1" x14ac:dyDescent="0.2">
      <c r="A4" s="71" t="s">
        <v>426</v>
      </c>
      <c r="B4" s="72"/>
      <c r="C4" s="72"/>
      <c r="D4" s="72"/>
      <c r="E4" s="72"/>
    </row>
    <row r="5" spans="1:6" ht="12.75" customHeight="1" x14ac:dyDescent="0.2"/>
    <row r="6" spans="1:6" ht="12.75" customHeight="1" x14ac:dyDescent="0.2">
      <c r="A6" s="74"/>
      <c r="B6" s="74"/>
      <c r="C6" s="74"/>
      <c r="D6" s="75" t="s">
        <v>222</v>
      </c>
      <c r="E6" s="74"/>
    </row>
    <row r="7" spans="1:6" ht="12.75" customHeight="1" x14ac:dyDescent="0.2">
      <c r="A7" s="74"/>
      <c r="B7" s="75"/>
      <c r="C7" s="75"/>
      <c r="D7" s="75" t="s">
        <v>230</v>
      </c>
      <c r="E7" s="76" t="s">
        <v>197</v>
      </c>
    </row>
    <row r="8" spans="1:6" ht="12.75" customHeight="1" x14ac:dyDescent="0.2">
      <c r="A8" s="77" t="s">
        <v>21</v>
      </c>
      <c r="B8" s="75"/>
      <c r="C8" s="75"/>
      <c r="D8" s="75" t="s">
        <v>231</v>
      </c>
      <c r="E8" s="76" t="s">
        <v>2</v>
      </c>
    </row>
    <row r="9" spans="1:6" ht="12.75" customHeight="1" x14ac:dyDescent="0.2">
      <c r="A9" s="78" t="s">
        <v>22</v>
      </c>
      <c r="B9" s="78" t="s">
        <v>4</v>
      </c>
      <c r="C9" s="78" t="s">
        <v>5</v>
      </c>
      <c r="D9" s="78" t="s">
        <v>232</v>
      </c>
      <c r="E9" s="79" t="s">
        <v>248</v>
      </c>
    </row>
    <row r="10" spans="1:6" ht="12.75" customHeight="1" x14ac:dyDescent="0.2">
      <c r="B10" s="14" t="s">
        <v>17</v>
      </c>
      <c r="C10" s="14" t="s">
        <v>18</v>
      </c>
      <c r="D10" s="52" t="s">
        <v>19</v>
      </c>
      <c r="E10" s="80" t="s">
        <v>20</v>
      </c>
      <c r="F10" s="80"/>
    </row>
    <row r="11" spans="1:6" ht="12.75" customHeight="1" x14ac:dyDescent="0.2">
      <c r="A11" s="14">
        <v>1</v>
      </c>
      <c r="B11" s="73" t="s">
        <v>8</v>
      </c>
      <c r="C11" s="14" t="s">
        <v>9</v>
      </c>
      <c r="D11" s="86">
        <f>'C-COS Allocation Factors (PSE)'!H22</f>
        <v>0.70041400828016565</v>
      </c>
      <c r="E11" s="81">
        <f>$E$19*D11</f>
        <v>29889895.609877095</v>
      </c>
    </row>
    <row r="12" spans="1:6" ht="12.75" customHeight="1" x14ac:dyDescent="0.2">
      <c r="A12" s="14">
        <f>A11+1</f>
        <v>2</v>
      </c>
      <c r="B12" s="73" t="s">
        <v>10</v>
      </c>
      <c r="C12" s="14">
        <v>31</v>
      </c>
      <c r="D12" s="86">
        <f>'C-COS Allocation Factors (PSE)'!I22</f>
        <v>0.22870457409148182</v>
      </c>
      <c r="E12" s="81">
        <f t="shared" ref="E12:E16" si="0">$E$19*D12</f>
        <v>9759878.8206437621</v>
      </c>
    </row>
    <row r="13" spans="1:6" ht="12.75" customHeight="1" x14ac:dyDescent="0.2">
      <c r="A13" s="14">
        <f t="shared" ref="A13:A19" si="1">A12+1</f>
        <v>3</v>
      </c>
      <c r="B13" s="73" t="s">
        <v>11</v>
      </c>
      <c r="C13" s="14">
        <v>41</v>
      </c>
      <c r="D13" s="86">
        <f>'C-COS Allocation Factors (PSE)'!J22</f>
        <v>4.3500870017400349E-2</v>
      </c>
      <c r="E13" s="81">
        <f t="shared" si="0"/>
        <v>1856382.7227722066</v>
      </c>
    </row>
    <row r="14" spans="1:6" ht="12.75" customHeight="1" x14ac:dyDescent="0.2">
      <c r="A14" s="14">
        <f t="shared" si="1"/>
        <v>4</v>
      </c>
      <c r="B14" s="73" t="s">
        <v>12</v>
      </c>
      <c r="C14" s="14">
        <v>85</v>
      </c>
      <c r="D14" s="86">
        <f>'C-COS Allocation Factors (PSE)'!K22</f>
        <v>1.2410248204964098E-2</v>
      </c>
      <c r="E14" s="81">
        <f t="shared" si="0"/>
        <v>529602.51930122031</v>
      </c>
    </row>
    <row r="15" spans="1:6" ht="12.75" customHeight="1" x14ac:dyDescent="0.2">
      <c r="A15" s="14">
        <f t="shared" si="1"/>
        <v>5</v>
      </c>
      <c r="B15" s="73" t="s">
        <v>13</v>
      </c>
      <c r="C15" s="14">
        <v>86</v>
      </c>
      <c r="D15" s="86">
        <f>'C-COS Allocation Factors (PSE)'!L22</f>
        <v>5.3501070021400423E-3</v>
      </c>
      <c r="E15" s="81">
        <f t="shared" si="0"/>
        <v>228313.73716853574</v>
      </c>
    </row>
    <row r="16" spans="1:6" ht="12.75" customHeight="1" x14ac:dyDescent="0.2">
      <c r="A16" s="14">
        <f t="shared" si="1"/>
        <v>6</v>
      </c>
      <c r="B16" s="73" t="s">
        <v>14</v>
      </c>
      <c r="C16" s="14">
        <v>87</v>
      </c>
      <c r="D16" s="86">
        <f>'C-COS Allocation Factors (PSE)'!M22</f>
        <v>9.6201924038480779E-3</v>
      </c>
      <c r="E16" s="81">
        <f t="shared" si="0"/>
        <v>410537.97225445125</v>
      </c>
    </row>
    <row r="17" spans="1:5" ht="12.75" customHeight="1" x14ac:dyDescent="0.2">
      <c r="A17" s="14">
        <f t="shared" si="1"/>
        <v>7</v>
      </c>
      <c r="B17" s="73" t="s">
        <v>16</v>
      </c>
      <c r="D17" s="82">
        <f>SUM(D11:D16)</f>
        <v>0.99999999999999989</v>
      </c>
      <c r="E17" s="83">
        <f>SUM(E11:E16)</f>
        <v>42674611.382017262</v>
      </c>
    </row>
    <row r="18" spans="1:5" ht="12.75" customHeight="1" x14ac:dyDescent="0.2">
      <c r="A18" s="14">
        <f t="shared" si="1"/>
        <v>8</v>
      </c>
      <c r="E18" s="62"/>
    </row>
    <row r="19" spans="1:5" ht="12.75" customHeight="1" x14ac:dyDescent="0.2">
      <c r="A19" s="14">
        <f t="shared" si="1"/>
        <v>9</v>
      </c>
      <c r="B19" s="73" t="s">
        <v>229</v>
      </c>
      <c r="E19" s="84">
        <f>Summary!C36</f>
        <v>42674611.38201727</v>
      </c>
    </row>
    <row r="20" spans="1:5" ht="12.75" customHeight="1" x14ac:dyDescent="0.2">
      <c r="E20" s="85"/>
    </row>
    <row r="21" spans="1:5" ht="12.75" customHeight="1" x14ac:dyDescent="0.2">
      <c r="B21" s="398" t="s">
        <v>249</v>
      </c>
      <c r="C21" s="398"/>
      <c r="D21" s="398"/>
      <c r="E21" s="398"/>
    </row>
    <row r="22" spans="1:5" ht="12.75" customHeight="1" x14ac:dyDescent="0.2">
      <c r="B22" s="398"/>
      <c r="C22" s="398"/>
      <c r="D22" s="398"/>
      <c r="E22" s="398"/>
    </row>
    <row r="23" spans="1:5" ht="12.75" customHeight="1" x14ac:dyDescent="0.2">
      <c r="E23" s="85"/>
    </row>
    <row r="24" spans="1:5" ht="12.75" customHeight="1" x14ac:dyDescent="0.2">
      <c r="E24" s="85"/>
    </row>
    <row r="25" spans="1:5" x14ac:dyDescent="0.2">
      <c r="E25" s="85"/>
    </row>
    <row r="26" spans="1:5" x14ac:dyDescent="0.2">
      <c r="E26" s="85"/>
    </row>
  </sheetData>
  <mergeCells count="1">
    <mergeCell ref="B21:E22"/>
  </mergeCells>
  <printOptions horizontalCentered="1"/>
  <pageMargins left="0.45" right="0.45" top="0.75" bottom="0.75" header="0.3" footer="0.3"/>
  <pageSetup orientation="landscape" blackAndWhite="1" r:id="rId1"/>
  <headerFooter>
    <oddFooter>&amp;R&amp;A
 Page &amp;P of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P28" sqref="P28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="85" zoomScaleNormal="85" workbookViewId="0">
      <pane ySplit="5" topLeftCell="A6" activePane="bottomLeft" state="frozen"/>
      <selection pane="bottomLeft" activeCell="E39" sqref="E39"/>
    </sheetView>
  </sheetViews>
  <sheetFormatPr defaultColWidth="8.7109375" defaultRowHeight="15.75" x14ac:dyDescent="0.25"/>
  <cols>
    <col min="1" max="1" width="9.28515625" style="4" customWidth="1"/>
    <col min="2" max="2" width="54.85546875" style="4" bestFit="1" customWidth="1"/>
    <col min="3" max="3" width="17.140625" style="4" customWidth="1"/>
    <col min="4" max="4" width="1.5703125" style="4" customWidth="1"/>
    <col min="5" max="5" width="18.85546875" style="4" bestFit="1" customWidth="1"/>
    <col min="6" max="6" width="16.5703125" style="4" customWidth="1"/>
    <col min="7" max="7" width="18.28515625" style="4" bestFit="1" customWidth="1"/>
    <col min="8" max="16384" width="8.7109375" style="4"/>
  </cols>
  <sheetData>
    <row r="1" spans="1:12" x14ac:dyDescent="0.25">
      <c r="A1" s="3" t="s">
        <v>38</v>
      </c>
    </row>
    <row r="2" spans="1:12" x14ac:dyDescent="0.25">
      <c r="A2" s="3" t="s">
        <v>421</v>
      </c>
      <c r="E2" s="5"/>
      <c r="F2" s="5"/>
      <c r="G2" s="5"/>
      <c r="H2" s="5"/>
      <c r="I2" s="5"/>
      <c r="J2" s="5"/>
      <c r="K2" s="5"/>
      <c r="L2" s="5"/>
    </row>
    <row r="4" spans="1:12" x14ac:dyDescent="0.25">
      <c r="C4" s="372" t="s">
        <v>422</v>
      </c>
      <c r="D4" s="6"/>
      <c r="F4" s="6" t="s">
        <v>423</v>
      </c>
    </row>
    <row r="5" spans="1:12" x14ac:dyDescent="0.25">
      <c r="A5" s="7" t="s">
        <v>39</v>
      </c>
      <c r="B5" s="7" t="s">
        <v>40</v>
      </c>
      <c r="C5" s="372" t="s">
        <v>424</v>
      </c>
      <c r="D5" s="7"/>
      <c r="F5" s="7" t="s">
        <v>6</v>
      </c>
      <c r="G5" s="4" t="s">
        <v>425</v>
      </c>
    </row>
    <row r="6" spans="1:12" x14ac:dyDescent="0.25">
      <c r="B6" s="8" t="s">
        <v>41</v>
      </c>
    </row>
    <row r="7" spans="1:12" x14ac:dyDescent="0.25">
      <c r="A7" s="9">
        <f>ROW()</f>
        <v>7</v>
      </c>
      <c r="B7" s="10" t="s">
        <v>42</v>
      </c>
      <c r="C7" s="373">
        <f>'[10]Plant Additions'!C50</f>
        <v>242655485.57000002</v>
      </c>
      <c r="D7" s="373"/>
      <c r="E7" s="374"/>
      <c r="F7" s="50">
        <v>243198713.57000002</v>
      </c>
      <c r="G7" s="49">
        <f>C7-F7</f>
        <v>-543228</v>
      </c>
    </row>
    <row r="8" spans="1:12" x14ac:dyDescent="0.25">
      <c r="A8" s="9">
        <f>ROW()</f>
        <v>8</v>
      </c>
      <c r="B8" s="10" t="s">
        <v>43</v>
      </c>
      <c r="C8" s="375">
        <f>'[10]Plant Additions'!C51</f>
        <v>-13891779.76105734</v>
      </c>
      <c r="D8" s="375"/>
      <c r="E8" s="374"/>
      <c r="F8" s="50">
        <v>-13922882.476620706</v>
      </c>
      <c r="G8" s="49">
        <f t="shared" ref="G8:G26" si="0">C8-F8</f>
        <v>31102.71556336619</v>
      </c>
    </row>
    <row r="9" spans="1:12" x14ac:dyDescent="0.25">
      <c r="A9" s="9">
        <f>ROW()</f>
        <v>9</v>
      </c>
      <c r="B9" s="10" t="s">
        <v>44</v>
      </c>
      <c r="C9" s="375">
        <f>'[10]Plant Additions'!C52</f>
        <v>-3769688.9179613441</v>
      </c>
      <c r="D9" s="375"/>
      <c r="E9" s="374"/>
      <c r="F9" s="50">
        <v>-3877235.2276930367</v>
      </c>
      <c r="G9" s="49">
        <f t="shared" si="0"/>
        <v>107546.30973169254</v>
      </c>
    </row>
    <row r="10" spans="1:12" x14ac:dyDescent="0.25">
      <c r="A10" s="9">
        <f>ROW()</f>
        <v>10</v>
      </c>
      <c r="B10" s="10" t="s">
        <v>45</v>
      </c>
      <c r="C10" s="376">
        <f>SUM(C7:C9)</f>
        <v>224994016.89098132</v>
      </c>
      <c r="D10" s="377"/>
      <c r="E10" s="374"/>
      <c r="F10" s="50">
        <v>225398595.86568627</v>
      </c>
      <c r="G10" s="49">
        <f t="shared" si="0"/>
        <v>-404578.97470495105</v>
      </c>
    </row>
    <row r="11" spans="1:12" x14ac:dyDescent="0.25">
      <c r="A11" s="9"/>
      <c r="C11" s="376"/>
      <c r="D11" s="377"/>
      <c r="E11" s="374"/>
      <c r="F11" s="50"/>
      <c r="G11" s="49"/>
    </row>
    <row r="12" spans="1:12" x14ac:dyDescent="0.25">
      <c r="A12" s="9"/>
      <c r="B12" s="8" t="s">
        <v>46</v>
      </c>
      <c r="C12" s="375"/>
      <c r="D12" s="375"/>
      <c r="E12" s="374"/>
      <c r="F12" s="50"/>
      <c r="G12" s="49"/>
    </row>
    <row r="13" spans="1:12" x14ac:dyDescent="0.25">
      <c r="A13" s="9">
        <f>ROW()</f>
        <v>13</v>
      </c>
      <c r="B13" s="10" t="s">
        <v>47</v>
      </c>
      <c r="C13" s="378">
        <f>'[10]LNG Depreciation Deferral'!E59</f>
        <v>10746030.725830838</v>
      </c>
      <c r="D13" s="378"/>
      <c r="E13" s="374"/>
      <c r="F13" s="50">
        <v>10770091.317115707</v>
      </c>
      <c r="G13" s="49">
        <f t="shared" si="0"/>
        <v>-24060.591284869239</v>
      </c>
    </row>
    <row r="14" spans="1:12" x14ac:dyDescent="0.25">
      <c r="A14" s="9">
        <f>ROW()</f>
        <v>14</v>
      </c>
      <c r="B14" s="10" t="s">
        <v>48</v>
      </c>
      <c r="C14" s="379">
        <f>'[10]LNG O&amp;M Deferral'!E59</f>
        <v>8879093.6488682032</v>
      </c>
      <c r="D14" s="380"/>
      <c r="E14" s="374"/>
      <c r="F14" s="50">
        <v>8879093.6488682032</v>
      </c>
      <c r="G14" s="49">
        <f t="shared" si="0"/>
        <v>0</v>
      </c>
    </row>
    <row r="15" spans="1:12" x14ac:dyDescent="0.25">
      <c r="A15" s="9">
        <f>ROW()</f>
        <v>15</v>
      </c>
      <c r="B15" s="10" t="s">
        <v>49</v>
      </c>
      <c r="C15" s="379">
        <f>'[10]LNG Depreciation Deferral'!$H$59</f>
        <v>-1343253.8407288545</v>
      </c>
      <c r="D15" s="380"/>
      <c r="E15" s="374"/>
      <c r="F15" s="50">
        <v>-1346261.4146394632</v>
      </c>
      <c r="G15" s="49">
        <f t="shared" si="0"/>
        <v>3007.5739106086548</v>
      </c>
    </row>
    <row r="16" spans="1:12" x14ac:dyDescent="0.25">
      <c r="A16" s="9">
        <f>ROW()</f>
        <v>16</v>
      </c>
      <c r="B16" s="10" t="s">
        <v>50</v>
      </c>
      <c r="C16" s="379">
        <f>'[10]LNG O&amp;M Deferral'!H59</f>
        <v>-1109886.7061085256</v>
      </c>
      <c r="D16" s="380"/>
      <c r="E16" s="374"/>
      <c r="F16" s="50">
        <v>-1109886.7061085256</v>
      </c>
      <c r="G16" s="49">
        <f t="shared" si="0"/>
        <v>0</v>
      </c>
    </row>
    <row r="17" spans="1:7" x14ac:dyDescent="0.25">
      <c r="A17" s="9">
        <f>ROW()</f>
        <v>17</v>
      </c>
      <c r="B17" s="10" t="s">
        <v>51</v>
      </c>
      <c r="C17" s="379">
        <f>'[10]LNG Depreciation Deferral'!L59</f>
        <v>-1974583.1458714167</v>
      </c>
      <c r="D17" s="380"/>
      <c r="E17" s="374"/>
      <c r="F17" s="50">
        <v>-1979004.2795200106</v>
      </c>
      <c r="G17" s="49">
        <f t="shared" si="0"/>
        <v>4421.13364859391</v>
      </c>
    </row>
    <row r="18" spans="1:7" x14ac:dyDescent="0.25">
      <c r="A18" s="9">
        <f>ROW()</f>
        <v>18</v>
      </c>
      <c r="B18" s="10" t="s">
        <v>52</v>
      </c>
      <c r="C18" s="379">
        <f>'[10]LNG O&amp;M Deferral'!$L$59</f>
        <v>-1631533.4579795317</v>
      </c>
      <c r="D18" s="380"/>
      <c r="E18" s="374"/>
      <c r="F18" s="50">
        <v>-1631533.4579795317</v>
      </c>
      <c r="G18" s="49">
        <f t="shared" si="0"/>
        <v>0</v>
      </c>
    </row>
    <row r="19" spans="1:7" x14ac:dyDescent="0.25">
      <c r="A19" s="9">
        <f>ROW()</f>
        <v>19</v>
      </c>
      <c r="B19" s="10" t="s">
        <v>53</v>
      </c>
      <c r="C19" s="381">
        <f>SUM(C13:C18)</f>
        <v>13565867.224010715</v>
      </c>
      <c r="D19" s="382"/>
      <c r="E19" s="374"/>
      <c r="F19" s="50">
        <v>13582499.107736383</v>
      </c>
      <c r="G19" s="49">
        <f t="shared" si="0"/>
        <v>-16631.883725667372</v>
      </c>
    </row>
    <row r="20" spans="1:7" x14ac:dyDescent="0.25">
      <c r="A20" s="9"/>
      <c r="C20" s="376"/>
      <c r="D20" s="377"/>
      <c r="E20" s="374"/>
      <c r="F20" s="50"/>
      <c r="G20" s="49"/>
    </row>
    <row r="21" spans="1:7" x14ac:dyDescent="0.25">
      <c r="A21" s="9">
        <f>ROW()</f>
        <v>21</v>
      </c>
      <c r="B21" s="11" t="s">
        <v>54</v>
      </c>
      <c r="C21" s="383">
        <f>C10+C19</f>
        <v>238559884.11499202</v>
      </c>
      <c r="D21" s="383"/>
      <c r="E21" s="374"/>
      <c r="F21" s="50">
        <v>238981094.97342265</v>
      </c>
      <c r="G21" s="49">
        <f t="shared" si="0"/>
        <v>-421210.85843062401</v>
      </c>
    </row>
    <row r="22" spans="1:7" x14ac:dyDescent="0.25">
      <c r="A22" s="9"/>
      <c r="C22" s="383"/>
      <c r="D22" s="383"/>
      <c r="E22" s="374"/>
      <c r="F22" s="50"/>
      <c r="G22" s="49">
        <f t="shared" si="0"/>
        <v>0</v>
      </c>
    </row>
    <row r="23" spans="1:7" x14ac:dyDescent="0.25">
      <c r="A23" s="9">
        <f>ROW()</f>
        <v>23</v>
      </c>
      <c r="B23" s="4" t="s">
        <v>55</v>
      </c>
      <c r="C23" s="384">
        <f>ROUND([10]ROR!E6,4)</f>
        <v>7.1599999999999997E-2</v>
      </c>
      <c r="D23" s="384"/>
      <c r="E23" s="374"/>
      <c r="F23" s="385">
        <v>7.1599999999999997E-2</v>
      </c>
      <c r="G23" s="386">
        <f t="shared" si="0"/>
        <v>0</v>
      </c>
    </row>
    <row r="24" spans="1:7" x14ac:dyDescent="0.25">
      <c r="A24" s="9">
        <f>ROW()</f>
        <v>24</v>
      </c>
      <c r="B24" s="4" t="s">
        <v>56</v>
      </c>
      <c r="C24" s="384">
        <f>[10]ROR!E4</f>
        <v>2.5500000000000002E-2</v>
      </c>
      <c r="D24" s="384"/>
      <c r="E24" s="374"/>
      <c r="F24" s="385">
        <v>2.5500000000000002E-2</v>
      </c>
      <c r="G24" s="386">
        <f t="shared" si="0"/>
        <v>0</v>
      </c>
    </row>
    <row r="25" spans="1:7" x14ac:dyDescent="0.25">
      <c r="A25" s="9">
        <f>ROW()</f>
        <v>25</v>
      </c>
      <c r="B25" s="4" t="s">
        <v>57</v>
      </c>
      <c r="C25" s="387">
        <v>0.21</v>
      </c>
      <c r="D25" s="387"/>
      <c r="E25" s="374"/>
      <c r="F25" s="388">
        <v>0.21</v>
      </c>
      <c r="G25" s="386">
        <f t="shared" si="0"/>
        <v>0</v>
      </c>
    </row>
    <row r="26" spans="1:7" x14ac:dyDescent="0.25">
      <c r="A26" s="9">
        <f>ROW()</f>
        <v>26</v>
      </c>
      <c r="B26" s="4" t="s">
        <v>58</v>
      </c>
      <c r="C26" s="389">
        <f>C21*C23</f>
        <v>17080887.702633429</v>
      </c>
      <c r="D26" s="383"/>
      <c r="E26" s="374"/>
      <c r="F26" s="50">
        <v>17111046.400097061</v>
      </c>
      <c r="G26" s="49">
        <f t="shared" si="0"/>
        <v>-30158.69746363163</v>
      </c>
    </row>
    <row r="27" spans="1:7" x14ac:dyDescent="0.25">
      <c r="A27" s="9"/>
      <c r="C27" s="383"/>
      <c r="D27" s="383"/>
      <c r="E27" s="374"/>
      <c r="F27" s="50"/>
      <c r="G27" s="49"/>
    </row>
    <row r="28" spans="1:7" x14ac:dyDescent="0.25">
      <c r="A28" s="9"/>
      <c r="B28" s="3" t="s">
        <v>59</v>
      </c>
      <c r="C28" s="383"/>
      <c r="D28" s="383"/>
      <c r="E28" s="374"/>
      <c r="F28" s="50"/>
      <c r="G28" s="49"/>
    </row>
    <row r="29" spans="1:7" x14ac:dyDescent="0.25">
      <c r="A29" s="9">
        <f>ROW()</f>
        <v>29</v>
      </c>
      <c r="B29" s="10" t="s">
        <v>60</v>
      </c>
      <c r="C29" s="373">
        <f>'[10]O&amp;M'!U27</f>
        <v>-4244174.6789823789</v>
      </c>
      <c r="D29" s="373"/>
      <c r="E29" s="374"/>
      <c r="F29" s="50">
        <v>-4244174.6789823789</v>
      </c>
      <c r="G29" s="49">
        <f>C29-F29</f>
        <v>0</v>
      </c>
    </row>
    <row r="30" spans="1:7" x14ac:dyDescent="0.25">
      <c r="A30" s="9">
        <f>ROW()</f>
        <v>30</v>
      </c>
      <c r="B30" s="10" t="s">
        <v>61</v>
      </c>
      <c r="C30" s="390">
        <f>-SUM('[10]Plant Additions'!F33:F44)*0.79</f>
        <v>-4970283.4756578729</v>
      </c>
      <c r="D30" s="373"/>
      <c r="E30" s="374"/>
      <c r="F30" s="50">
        <v>-4981410.0320178997</v>
      </c>
      <c r="G30" s="49">
        <f>C30-F30</f>
        <v>11126.556360026821</v>
      </c>
    </row>
    <row r="31" spans="1:7" x14ac:dyDescent="0.25">
      <c r="A31" s="9">
        <f>ROW()</f>
        <v>31</v>
      </c>
      <c r="B31" s="10" t="s">
        <v>62</v>
      </c>
      <c r="C31" s="390">
        <f>'[10]Total Deferrals'!D10</f>
        <v>-7091842.8389447341</v>
      </c>
      <c r="D31" s="373"/>
      <c r="E31" s="374"/>
      <c r="F31" s="50">
        <v>-10823500.59966886</v>
      </c>
      <c r="G31" s="49">
        <f>C31-F31</f>
        <v>3731657.7607241264</v>
      </c>
    </row>
    <row r="32" spans="1:7" ht="15.95" customHeight="1" x14ac:dyDescent="0.25">
      <c r="A32" s="9">
        <f>ROW()</f>
        <v>32</v>
      </c>
      <c r="B32" s="10" t="s">
        <v>228</v>
      </c>
      <c r="C32" s="390">
        <f>C21*C24*C25</f>
        <v>1277488.1794357824</v>
      </c>
      <c r="D32" s="373"/>
      <c r="E32" s="374"/>
      <c r="F32" s="50">
        <v>1279743.7635826783</v>
      </c>
      <c r="G32" s="49">
        <f>C32-F32</f>
        <v>-2255.5841468959115</v>
      </c>
    </row>
    <row r="33" spans="1:7" x14ac:dyDescent="0.25">
      <c r="A33" s="9">
        <f>ROW()</f>
        <v>33</v>
      </c>
      <c r="B33" s="12" t="s">
        <v>63</v>
      </c>
      <c r="C33" s="389">
        <f>C26-SUM(C29:C32)</f>
        <v>32109700.516782634</v>
      </c>
      <c r="D33" s="383"/>
      <c r="E33" s="374"/>
      <c r="F33" s="50">
        <v>35880387.94718352</v>
      </c>
      <c r="G33" s="49">
        <f>C33-F33</f>
        <v>-3770687.4304008856</v>
      </c>
    </row>
    <row r="34" spans="1:7" x14ac:dyDescent="0.25">
      <c r="A34" s="9"/>
      <c r="B34" s="12"/>
      <c r="C34" s="383"/>
      <c r="D34" s="383"/>
      <c r="E34" s="374"/>
      <c r="F34" s="50"/>
      <c r="G34" s="49"/>
    </row>
    <row r="35" spans="1:7" x14ac:dyDescent="0.25">
      <c r="A35" s="9">
        <f>ROW()</f>
        <v>35</v>
      </c>
      <c r="B35" s="10" t="s">
        <v>64</v>
      </c>
      <c r="C35" s="391">
        <f>'[10]Gas Conv Factor'!F24</f>
        <v>0.75243099999999996</v>
      </c>
      <c r="D35" s="391"/>
      <c r="E35" s="374"/>
      <c r="F35" s="392">
        <v>0.75322100000000003</v>
      </c>
      <c r="G35" s="391">
        <f>C35-F35</f>
        <v>-7.9000000000006843E-4</v>
      </c>
    </row>
    <row r="36" spans="1:7" ht="16.5" thickBot="1" x14ac:dyDescent="0.3">
      <c r="A36" s="9">
        <f>ROW()</f>
        <v>36</v>
      </c>
      <c r="B36" s="10" t="s">
        <v>65</v>
      </c>
      <c r="C36" s="393">
        <f>C33/C35</f>
        <v>42674611.38201727</v>
      </c>
      <c r="D36" s="383"/>
      <c r="E36" s="374"/>
      <c r="F36" s="50">
        <v>47635936.793030888</v>
      </c>
      <c r="G36" s="49">
        <f>C36-F36</f>
        <v>-4961325.4110136181</v>
      </c>
    </row>
    <row r="37" spans="1:7" ht="16.5" thickTop="1" x14ac:dyDescent="0.25">
      <c r="A37" s="9"/>
      <c r="B37" s="10"/>
      <c r="C37" s="394"/>
      <c r="D37" s="394"/>
      <c r="E37" s="374"/>
      <c r="F37" s="50"/>
    </row>
    <row r="38" spans="1:7" x14ac:dyDescent="0.25">
      <c r="A38" s="9"/>
      <c r="C38" s="13"/>
      <c r="D38" s="13"/>
    </row>
    <row r="39" spans="1:7" x14ac:dyDescent="0.25">
      <c r="A39" s="9"/>
    </row>
  </sheetData>
  <printOptions horizontalCentered="1"/>
  <pageMargins left="0.7" right="0.7" top="0.75" bottom="0.75" header="0.3" footer="0.3"/>
  <pageSetup orientation="portrait" r:id="rId1"/>
  <headerFooter>
    <oddFooter>&amp;R&amp;"Times New Roman,Regular"&amp;10Exh. SEF-3 page 1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="90" zoomScaleNormal="90" workbookViewId="0">
      <pane ySplit="7" topLeftCell="A8" activePane="bottomLeft" state="frozen"/>
      <selection activeCell="I39" sqref="I39"/>
      <selection pane="bottomLeft" sqref="A1:N1"/>
    </sheetView>
  </sheetViews>
  <sheetFormatPr defaultColWidth="9.140625" defaultRowHeight="12.75" x14ac:dyDescent="0.2"/>
  <cols>
    <col min="1" max="1" width="35.28515625" style="87" customWidth="1"/>
    <col min="2" max="13" width="13" style="87" customWidth="1"/>
    <col min="14" max="14" width="15" style="87" bestFit="1" customWidth="1"/>
    <col min="15" max="15" width="9.28515625" style="87" bestFit="1" customWidth="1"/>
    <col min="16" max="16384" width="9.140625" style="87"/>
  </cols>
  <sheetData>
    <row r="1" spans="1:19" x14ac:dyDescent="0.2">
      <c r="A1" s="399" t="s"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9" x14ac:dyDescent="0.2">
      <c r="A2" s="399" t="s">
        <v>257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9" s="88" customFormat="1" x14ac:dyDescent="0.2">
      <c r="A3" s="399" t="s">
        <v>258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19" s="88" customFormat="1" x14ac:dyDescent="0.2">
      <c r="A4" s="400" t="s">
        <v>259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5" spans="1:19" s="88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9" s="88" customFormat="1" x14ac:dyDescent="0.2">
      <c r="A6" s="89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9"/>
    </row>
    <row r="7" spans="1:19" s="88" customFormat="1" x14ac:dyDescent="0.2">
      <c r="A7" s="90" t="s">
        <v>4</v>
      </c>
      <c r="B7" s="91">
        <v>45292</v>
      </c>
      <c r="C7" s="91">
        <f>EDATE(B7,1)</f>
        <v>45323</v>
      </c>
      <c r="D7" s="91">
        <f>EDATE(C7,1)</f>
        <v>45352</v>
      </c>
      <c r="E7" s="91">
        <f t="shared" ref="E7:M7" si="0">EDATE(D7,1)</f>
        <v>45383</v>
      </c>
      <c r="F7" s="91">
        <f t="shared" si="0"/>
        <v>45413</v>
      </c>
      <c r="G7" s="91">
        <f t="shared" si="0"/>
        <v>45444</v>
      </c>
      <c r="H7" s="91">
        <f t="shared" si="0"/>
        <v>45474</v>
      </c>
      <c r="I7" s="91">
        <f t="shared" si="0"/>
        <v>45505</v>
      </c>
      <c r="J7" s="91">
        <f t="shared" si="0"/>
        <v>45536</v>
      </c>
      <c r="K7" s="91">
        <f t="shared" si="0"/>
        <v>45566</v>
      </c>
      <c r="L7" s="91">
        <f t="shared" si="0"/>
        <v>45597</v>
      </c>
      <c r="M7" s="91">
        <f t="shared" si="0"/>
        <v>45627</v>
      </c>
      <c r="N7" s="90" t="s">
        <v>16</v>
      </c>
    </row>
    <row r="8" spans="1:19" s="88" customFormat="1" x14ac:dyDescent="0.2">
      <c r="A8" s="92" t="s">
        <v>260</v>
      </c>
      <c r="B8" s="93">
        <v>736</v>
      </c>
      <c r="C8" s="93">
        <v>736</v>
      </c>
      <c r="D8" s="93">
        <v>736</v>
      </c>
      <c r="E8" s="93">
        <v>736</v>
      </c>
      <c r="F8" s="93">
        <v>736</v>
      </c>
      <c r="G8" s="93">
        <v>736</v>
      </c>
      <c r="H8" s="93">
        <v>736</v>
      </c>
      <c r="I8" s="93">
        <v>736</v>
      </c>
      <c r="J8" s="93">
        <v>736</v>
      </c>
      <c r="K8" s="93">
        <v>736</v>
      </c>
      <c r="L8" s="93">
        <v>736</v>
      </c>
      <c r="M8" s="93">
        <v>736</v>
      </c>
      <c r="N8" s="94">
        <f>SUM(B8:M8)</f>
        <v>8832</v>
      </c>
      <c r="P8" s="92"/>
      <c r="Q8" s="95"/>
      <c r="R8" s="95"/>
      <c r="S8" s="95"/>
    </row>
    <row r="9" spans="1:19" s="88" customFormat="1" x14ac:dyDescent="0.2">
      <c r="A9" s="92" t="s">
        <v>261</v>
      </c>
      <c r="B9" s="93">
        <v>97939022</v>
      </c>
      <c r="C9" s="93">
        <v>84388896</v>
      </c>
      <c r="D9" s="93">
        <v>77323969</v>
      </c>
      <c r="E9" s="93">
        <v>53507958</v>
      </c>
      <c r="F9" s="93">
        <v>30480725</v>
      </c>
      <c r="G9" s="93">
        <v>20098155</v>
      </c>
      <c r="H9" s="93">
        <v>14466554</v>
      </c>
      <c r="I9" s="93">
        <v>13798925</v>
      </c>
      <c r="J9" s="93">
        <v>20484242</v>
      </c>
      <c r="K9" s="93">
        <v>47350638</v>
      </c>
      <c r="L9" s="93">
        <v>77723497</v>
      </c>
      <c r="M9" s="93">
        <v>101901968</v>
      </c>
      <c r="N9" s="94">
        <f t="shared" ref="N9:N31" si="1">SUM(B9:M9)</f>
        <v>639464549</v>
      </c>
      <c r="P9" s="92"/>
      <c r="Q9" s="95"/>
      <c r="R9" s="95"/>
      <c r="S9" s="95"/>
    </row>
    <row r="10" spans="1:19" s="88" customFormat="1" x14ac:dyDescent="0.2">
      <c r="A10" s="92" t="s">
        <v>262</v>
      </c>
      <c r="B10" s="93">
        <v>31045820</v>
      </c>
      <c r="C10" s="93">
        <v>28959080</v>
      </c>
      <c r="D10" s="93">
        <v>26493362</v>
      </c>
      <c r="E10" s="93">
        <v>18957677</v>
      </c>
      <c r="F10" s="93">
        <v>13587938</v>
      </c>
      <c r="G10" s="93">
        <v>10554469</v>
      </c>
      <c r="H10" s="93">
        <v>8821480</v>
      </c>
      <c r="I10" s="93">
        <v>9117196</v>
      </c>
      <c r="J10" s="93">
        <v>10157835</v>
      </c>
      <c r="K10" s="93">
        <v>17038421</v>
      </c>
      <c r="L10" s="93">
        <v>25385561</v>
      </c>
      <c r="M10" s="93">
        <v>33487301</v>
      </c>
      <c r="N10" s="94">
        <f t="shared" si="1"/>
        <v>233606140</v>
      </c>
      <c r="P10" s="92"/>
      <c r="Q10" s="95"/>
      <c r="R10" s="95"/>
      <c r="S10" s="95"/>
    </row>
    <row r="11" spans="1:19" s="88" customFormat="1" x14ac:dyDescent="0.2">
      <c r="A11" s="92" t="s">
        <v>263</v>
      </c>
      <c r="B11" s="93">
        <v>1882277</v>
      </c>
      <c r="C11" s="93">
        <v>1665902</v>
      </c>
      <c r="D11" s="93">
        <v>1474996</v>
      </c>
      <c r="E11" s="93">
        <v>1080825</v>
      </c>
      <c r="F11" s="93">
        <v>648970</v>
      </c>
      <c r="G11" s="93">
        <v>424406</v>
      </c>
      <c r="H11" s="93">
        <v>316062</v>
      </c>
      <c r="I11" s="93">
        <v>315308</v>
      </c>
      <c r="J11" s="93">
        <v>438274</v>
      </c>
      <c r="K11" s="93">
        <v>627355</v>
      </c>
      <c r="L11" s="93">
        <v>1387974</v>
      </c>
      <c r="M11" s="93">
        <v>2067754</v>
      </c>
      <c r="N11" s="94">
        <f t="shared" si="1"/>
        <v>12330103</v>
      </c>
      <c r="P11" s="92"/>
      <c r="Q11" s="95"/>
      <c r="R11" s="95"/>
      <c r="S11" s="95"/>
    </row>
    <row r="12" spans="1:19" s="88" customFormat="1" x14ac:dyDescent="0.2">
      <c r="A12" s="92" t="s">
        <v>264</v>
      </c>
      <c r="B12" s="93">
        <v>3584</v>
      </c>
      <c r="C12" s="93">
        <v>3704</v>
      </c>
      <c r="D12" s="93">
        <v>3231</v>
      </c>
      <c r="E12" s="93">
        <v>2806</v>
      </c>
      <c r="F12" s="93">
        <v>2070</v>
      </c>
      <c r="G12" s="93">
        <v>1945</v>
      </c>
      <c r="H12" s="93">
        <v>1693</v>
      </c>
      <c r="I12" s="93">
        <v>1910</v>
      </c>
      <c r="J12" s="93">
        <v>2000</v>
      </c>
      <c r="K12" s="93">
        <v>2796</v>
      </c>
      <c r="L12" s="93">
        <v>3910</v>
      </c>
      <c r="M12" s="93">
        <v>4218</v>
      </c>
      <c r="N12" s="94">
        <f t="shared" si="1"/>
        <v>33867</v>
      </c>
      <c r="P12" s="92"/>
      <c r="Q12" s="95"/>
      <c r="R12" s="95"/>
      <c r="S12" s="95"/>
    </row>
    <row r="13" spans="1:19" s="88" customFormat="1" x14ac:dyDescent="0.2">
      <c r="A13" s="92" t="s">
        <v>265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4">
        <f t="shared" si="1"/>
        <v>0</v>
      </c>
      <c r="P13" s="92"/>
      <c r="Q13" s="95"/>
      <c r="R13" s="95"/>
      <c r="S13" s="95"/>
    </row>
    <row r="14" spans="1:19" s="88" customFormat="1" x14ac:dyDescent="0.2">
      <c r="A14" s="92" t="s">
        <v>266</v>
      </c>
      <c r="B14" s="93">
        <v>6990153</v>
      </c>
      <c r="C14" s="93">
        <v>6905911</v>
      </c>
      <c r="D14" s="93">
        <v>6478988</v>
      </c>
      <c r="E14" s="93">
        <v>4793163</v>
      </c>
      <c r="F14" s="93">
        <v>3696104</v>
      </c>
      <c r="G14" s="93">
        <v>2940436</v>
      </c>
      <c r="H14" s="93">
        <v>2308117</v>
      </c>
      <c r="I14" s="93">
        <v>2369716</v>
      </c>
      <c r="J14" s="93">
        <v>2656703</v>
      </c>
      <c r="K14" s="93">
        <v>4575785</v>
      </c>
      <c r="L14" s="93">
        <v>6224489</v>
      </c>
      <c r="M14" s="93">
        <v>7397855</v>
      </c>
      <c r="N14" s="94">
        <f t="shared" si="1"/>
        <v>57337420</v>
      </c>
      <c r="P14" s="92"/>
      <c r="Q14" s="95"/>
      <c r="R14" s="95"/>
      <c r="S14" s="95"/>
    </row>
    <row r="15" spans="1:19" s="88" customFormat="1" x14ac:dyDescent="0.2">
      <c r="A15" s="92" t="s">
        <v>267</v>
      </c>
      <c r="B15" s="93">
        <v>898036</v>
      </c>
      <c r="C15" s="93">
        <v>863678</v>
      </c>
      <c r="D15" s="93">
        <v>844097</v>
      </c>
      <c r="E15" s="93">
        <v>826704</v>
      </c>
      <c r="F15" s="93">
        <v>707572</v>
      </c>
      <c r="G15" s="93">
        <v>661917</v>
      </c>
      <c r="H15" s="93">
        <v>552524</v>
      </c>
      <c r="I15" s="93">
        <v>601133</v>
      </c>
      <c r="J15" s="93">
        <v>748460</v>
      </c>
      <c r="K15" s="93">
        <v>730081</v>
      </c>
      <c r="L15" s="93">
        <v>1045199</v>
      </c>
      <c r="M15" s="93">
        <v>1073720</v>
      </c>
      <c r="N15" s="94">
        <f t="shared" si="1"/>
        <v>9553121</v>
      </c>
      <c r="P15" s="92"/>
      <c r="Q15" s="95"/>
      <c r="R15" s="95"/>
      <c r="S15" s="95"/>
    </row>
    <row r="16" spans="1:19" s="88" customFormat="1" x14ac:dyDescent="0.2">
      <c r="A16" s="92" t="s">
        <v>268</v>
      </c>
      <c r="B16" s="93">
        <v>1775683</v>
      </c>
      <c r="C16" s="93">
        <v>1836591</v>
      </c>
      <c r="D16" s="93">
        <v>1648479</v>
      </c>
      <c r="E16" s="93">
        <v>1823807</v>
      </c>
      <c r="F16" s="93">
        <v>1696203</v>
      </c>
      <c r="G16" s="93">
        <v>1757704</v>
      </c>
      <c r="H16" s="93">
        <v>1577825</v>
      </c>
      <c r="I16" s="93">
        <v>1654592</v>
      </c>
      <c r="J16" s="93">
        <v>1634637</v>
      </c>
      <c r="K16" s="93">
        <v>1637231</v>
      </c>
      <c r="L16" s="93">
        <v>1897850</v>
      </c>
      <c r="M16" s="93">
        <v>1881503</v>
      </c>
      <c r="N16" s="94">
        <f t="shared" si="1"/>
        <v>20822105</v>
      </c>
      <c r="P16" s="92"/>
      <c r="Q16" s="95"/>
      <c r="R16" s="95"/>
      <c r="S16" s="95"/>
    </row>
    <row r="17" spans="1:19" s="88" customFormat="1" x14ac:dyDescent="0.2">
      <c r="A17" s="92" t="s">
        <v>269</v>
      </c>
      <c r="B17" s="93">
        <v>490163</v>
      </c>
      <c r="C17" s="93">
        <v>586219</v>
      </c>
      <c r="D17" s="93">
        <v>414071</v>
      </c>
      <c r="E17" s="93">
        <v>486463</v>
      </c>
      <c r="F17" s="93">
        <v>454010</v>
      </c>
      <c r="G17" s="93">
        <v>506687</v>
      </c>
      <c r="H17" s="93">
        <v>478169</v>
      </c>
      <c r="I17" s="93">
        <v>454248</v>
      </c>
      <c r="J17" s="93">
        <v>416189</v>
      </c>
      <c r="K17" s="93">
        <v>454914</v>
      </c>
      <c r="L17" s="93">
        <v>496708</v>
      </c>
      <c r="M17" s="93">
        <v>450288</v>
      </c>
      <c r="N17" s="94">
        <f t="shared" si="1"/>
        <v>5688129</v>
      </c>
      <c r="P17" s="92"/>
      <c r="Q17" s="95"/>
      <c r="R17" s="95"/>
      <c r="S17" s="95"/>
    </row>
    <row r="18" spans="1:19" s="88" customFormat="1" x14ac:dyDescent="0.2">
      <c r="A18" s="92" t="s">
        <v>270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4">
        <f t="shared" si="1"/>
        <v>0</v>
      </c>
      <c r="P18" s="92"/>
      <c r="Q18" s="95"/>
      <c r="R18" s="95"/>
      <c r="S18" s="95"/>
    </row>
    <row r="19" spans="1:19" s="88" customFormat="1" x14ac:dyDescent="0.2">
      <c r="A19" s="92" t="s">
        <v>271</v>
      </c>
      <c r="B19" s="93">
        <v>1057607</v>
      </c>
      <c r="C19" s="93">
        <v>1040657</v>
      </c>
      <c r="D19" s="93">
        <v>948024</v>
      </c>
      <c r="E19" s="93">
        <v>760315</v>
      </c>
      <c r="F19" s="93">
        <v>715098</v>
      </c>
      <c r="G19" s="93">
        <v>546965</v>
      </c>
      <c r="H19" s="93">
        <v>515440</v>
      </c>
      <c r="I19" s="93">
        <v>568866</v>
      </c>
      <c r="J19" s="93">
        <v>548041</v>
      </c>
      <c r="K19" s="93">
        <v>805565</v>
      </c>
      <c r="L19" s="93">
        <v>941691</v>
      </c>
      <c r="M19" s="93">
        <v>1208597</v>
      </c>
      <c r="N19" s="94">
        <f t="shared" si="1"/>
        <v>9656866</v>
      </c>
      <c r="P19" s="92"/>
      <c r="Q19" s="95"/>
      <c r="R19" s="95"/>
      <c r="S19" s="95"/>
    </row>
    <row r="20" spans="1:19" s="88" customFormat="1" x14ac:dyDescent="0.2">
      <c r="A20" s="92" t="s">
        <v>272</v>
      </c>
      <c r="B20" s="93">
        <v>103529</v>
      </c>
      <c r="C20" s="93">
        <v>120534</v>
      </c>
      <c r="D20" s="93">
        <v>110221</v>
      </c>
      <c r="E20" s="93">
        <v>80034</v>
      </c>
      <c r="F20" s="93">
        <v>65787</v>
      </c>
      <c r="G20" s="93">
        <v>68137</v>
      </c>
      <c r="H20" s="93">
        <v>65688</v>
      </c>
      <c r="I20" s="93">
        <v>67187</v>
      </c>
      <c r="J20" s="93">
        <v>94698</v>
      </c>
      <c r="K20" s="93">
        <v>103998</v>
      </c>
      <c r="L20" s="93">
        <v>95565</v>
      </c>
      <c r="M20" s="93">
        <v>113134</v>
      </c>
      <c r="N20" s="94">
        <f t="shared" si="1"/>
        <v>1088512</v>
      </c>
      <c r="P20" s="92"/>
      <c r="Q20" s="95"/>
      <c r="R20" s="95"/>
      <c r="S20" s="95"/>
    </row>
    <row r="21" spans="1:19" s="88" customFormat="1" x14ac:dyDescent="0.2">
      <c r="A21" s="92" t="s">
        <v>273</v>
      </c>
      <c r="B21" s="93">
        <v>1782343</v>
      </c>
      <c r="C21" s="93">
        <v>1782088</v>
      </c>
      <c r="D21" s="93">
        <v>1738224</v>
      </c>
      <c r="E21" s="93">
        <v>1730188</v>
      </c>
      <c r="F21" s="93">
        <v>1503928</v>
      </c>
      <c r="G21" s="93">
        <v>1462157</v>
      </c>
      <c r="H21" s="93">
        <v>1269817</v>
      </c>
      <c r="I21" s="93">
        <v>1306465</v>
      </c>
      <c r="J21" s="93">
        <v>1296082</v>
      </c>
      <c r="K21" s="93">
        <v>1463908</v>
      </c>
      <c r="L21" s="93">
        <v>1795544</v>
      </c>
      <c r="M21" s="93">
        <v>1791666</v>
      </c>
      <c r="N21" s="94">
        <f t="shared" si="1"/>
        <v>18922410</v>
      </c>
      <c r="P21" s="92"/>
      <c r="Q21" s="95"/>
      <c r="R21" s="95"/>
      <c r="S21" s="95"/>
    </row>
    <row r="22" spans="1:19" s="88" customFormat="1" x14ac:dyDescent="0.2">
      <c r="A22" s="92" t="s">
        <v>274</v>
      </c>
      <c r="B22" s="93">
        <v>3352335</v>
      </c>
      <c r="C22" s="93">
        <v>4360838</v>
      </c>
      <c r="D22" s="93">
        <v>3126716</v>
      </c>
      <c r="E22" s="93">
        <v>3708888</v>
      </c>
      <c r="F22" s="93">
        <v>3343679</v>
      </c>
      <c r="G22" s="93">
        <v>3715175</v>
      </c>
      <c r="H22" s="93">
        <v>3489803</v>
      </c>
      <c r="I22" s="93">
        <v>3445005</v>
      </c>
      <c r="J22" s="93">
        <v>3495455</v>
      </c>
      <c r="K22" s="93">
        <v>3804626</v>
      </c>
      <c r="L22" s="93">
        <v>3906181</v>
      </c>
      <c r="M22" s="93">
        <v>3617815</v>
      </c>
      <c r="N22" s="94">
        <f t="shared" si="1"/>
        <v>43366516</v>
      </c>
      <c r="P22" s="92"/>
      <c r="Q22" s="95"/>
      <c r="R22" s="95"/>
      <c r="S22" s="95"/>
    </row>
    <row r="23" spans="1:19" s="88" customFormat="1" x14ac:dyDescent="0.2">
      <c r="A23" s="92" t="s">
        <v>275</v>
      </c>
      <c r="B23" s="93">
        <v>722035</v>
      </c>
      <c r="C23" s="93">
        <v>714438</v>
      </c>
      <c r="D23" s="93">
        <v>664061</v>
      </c>
      <c r="E23" s="93">
        <v>459352</v>
      </c>
      <c r="F23" s="93">
        <v>392842</v>
      </c>
      <c r="G23" s="93">
        <v>242222</v>
      </c>
      <c r="H23" s="93">
        <v>175870</v>
      </c>
      <c r="I23" s="93">
        <v>142809</v>
      </c>
      <c r="J23" s="93">
        <v>158443</v>
      </c>
      <c r="K23" s="93">
        <v>355023</v>
      </c>
      <c r="L23" s="93">
        <v>543537</v>
      </c>
      <c r="M23" s="93">
        <v>803545</v>
      </c>
      <c r="N23" s="94">
        <f t="shared" si="1"/>
        <v>5374177</v>
      </c>
      <c r="P23" s="92"/>
      <c r="Q23" s="95"/>
      <c r="R23" s="95"/>
      <c r="S23" s="95"/>
    </row>
    <row r="24" spans="1:19" s="88" customFormat="1" x14ac:dyDescent="0.2">
      <c r="A24" s="92" t="s">
        <v>276</v>
      </c>
      <c r="B24" s="93">
        <v>12435</v>
      </c>
      <c r="C24" s="93">
        <v>15921</v>
      </c>
      <c r="D24" s="93">
        <v>16435</v>
      </c>
      <c r="E24" s="93">
        <v>10185</v>
      </c>
      <c r="F24" s="93">
        <v>9559</v>
      </c>
      <c r="G24" s="93">
        <v>6646</v>
      </c>
      <c r="H24" s="93">
        <v>4521</v>
      </c>
      <c r="I24" s="93">
        <v>4140</v>
      </c>
      <c r="J24" s="93">
        <v>5127</v>
      </c>
      <c r="K24" s="93">
        <v>9453</v>
      </c>
      <c r="L24" s="93">
        <v>11029</v>
      </c>
      <c r="M24" s="93">
        <v>9780</v>
      </c>
      <c r="N24" s="94">
        <f t="shared" si="1"/>
        <v>115231</v>
      </c>
      <c r="P24" s="92"/>
      <c r="Q24" s="95"/>
      <c r="R24" s="95"/>
      <c r="S24" s="95"/>
    </row>
    <row r="25" spans="1:19" s="88" customFormat="1" x14ac:dyDescent="0.2">
      <c r="A25" s="92" t="s">
        <v>277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4">
        <f t="shared" si="1"/>
        <v>0</v>
      </c>
      <c r="P25" s="92"/>
      <c r="Q25" s="95"/>
      <c r="R25" s="95"/>
      <c r="S25" s="95"/>
    </row>
    <row r="26" spans="1:19" s="88" customFormat="1" x14ac:dyDescent="0.2">
      <c r="A26" s="92" t="s">
        <v>278</v>
      </c>
      <c r="B26" s="93">
        <v>47088</v>
      </c>
      <c r="C26" s="93">
        <v>64390</v>
      </c>
      <c r="D26" s="93">
        <v>37100</v>
      </c>
      <c r="E26" s="93">
        <v>47661</v>
      </c>
      <c r="F26" s="93">
        <v>43279</v>
      </c>
      <c r="G26" s="93">
        <v>48694</v>
      </c>
      <c r="H26" s="93">
        <v>48436</v>
      </c>
      <c r="I26" s="93">
        <v>45424</v>
      </c>
      <c r="J26" s="93">
        <v>46262</v>
      </c>
      <c r="K26" s="93">
        <v>44895</v>
      </c>
      <c r="L26" s="93">
        <v>52241</v>
      </c>
      <c r="M26" s="93">
        <v>53232</v>
      </c>
      <c r="N26" s="94">
        <f t="shared" si="1"/>
        <v>578702</v>
      </c>
      <c r="P26" s="92"/>
      <c r="Q26" s="95"/>
      <c r="R26" s="95"/>
      <c r="S26" s="95"/>
    </row>
    <row r="27" spans="1:19" s="88" customFormat="1" x14ac:dyDescent="0.2">
      <c r="A27" s="92" t="s">
        <v>279</v>
      </c>
      <c r="B27" s="93">
        <v>2998650.8943750001</v>
      </c>
      <c r="C27" s="93">
        <v>4620973.8603750002</v>
      </c>
      <c r="D27" s="93">
        <v>-230183.26163159739</v>
      </c>
      <c r="E27" s="93">
        <v>2722328.7807902782</v>
      </c>
      <c r="F27" s="93">
        <v>1246699.5224090284</v>
      </c>
      <c r="G27" s="93">
        <v>1711965.7117916665</v>
      </c>
      <c r="H27" s="93">
        <v>204785.59449999995</v>
      </c>
      <c r="I27" s="93">
        <v>2315404.6089999997</v>
      </c>
      <c r="J27" s="93">
        <v>955360.63349999976</v>
      </c>
      <c r="K27" s="93">
        <v>1332643.2697923623</v>
      </c>
      <c r="L27" s="93">
        <v>4079298.5974499993</v>
      </c>
      <c r="M27" s="93">
        <v>-138472.44999652982</v>
      </c>
      <c r="N27" s="94">
        <f t="shared" si="1"/>
        <v>21819455.762355205</v>
      </c>
      <c r="P27" s="92"/>
      <c r="Q27" s="95"/>
      <c r="R27" s="95"/>
      <c r="S27" s="95"/>
    </row>
    <row r="28" spans="1:19" s="88" customFormat="1" x14ac:dyDescent="0.2">
      <c r="A28" s="92" t="s">
        <v>280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4">
        <f t="shared" si="1"/>
        <v>0</v>
      </c>
      <c r="P28" s="92"/>
      <c r="Q28" s="95"/>
      <c r="R28" s="95"/>
      <c r="S28" s="95"/>
    </row>
    <row r="29" spans="1:19" s="88" customFormat="1" x14ac:dyDescent="0.2">
      <c r="A29" s="92" t="s">
        <v>281</v>
      </c>
      <c r="B29" s="93">
        <v>1665367.0782708321</v>
      </c>
      <c r="C29" s="93">
        <v>1763149.7227500007</v>
      </c>
      <c r="D29" s="93">
        <v>1890996.2701258333</v>
      </c>
      <c r="E29" s="93">
        <v>1474771.4626187503</v>
      </c>
      <c r="F29" s="93">
        <v>1274825.9547841665</v>
      </c>
      <c r="G29" s="93">
        <v>937480.57004500041</v>
      </c>
      <c r="H29" s="93">
        <v>1019637.2000000002</v>
      </c>
      <c r="I29" s="93">
        <v>982726.42999999993</v>
      </c>
      <c r="J29" s="93">
        <v>997833.03000000026</v>
      </c>
      <c r="K29" s="93">
        <v>1335391.5905979173</v>
      </c>
      <c r="L29" s="93">
        <v>263122.60083499935</v>
      </c>
      <c r="M29" s="93">
        <v>3221065.0854520816</v>
      </c>
      <c r="N29" s="94">
        <f t="shared" si="1"/>
        <v>16826366.995479584</v>
      </c>
    </row>
    <row r="30" spans="1:19" s="88" customFormat="1" x14ac:dyDescent="0.2">
      <c r="A30" s="92" t="s">
        <v>282</v>
      </c>
      <c r="B30" s="93">
        <v>9426422.1999999993</v>
      </c>
      <c r="C30" s="93">
        <v>8877935.9100000001</v>
      </c>
      <c r="D30" s="93">
        <v>10788797.190000001</v>
      </c>
      <c r="E30" s="93">
        <v>10939613.629999999</v>
      </c>
      <c r="F30" s="93">
        <v>10913282.559999999</v>
      </c>
      <c r="G30" s="93">
        <v>10316694.349999998</v>
      </c>
      <c r="H30" s="93">
        <v>9390439.0099999998</v>
      </c>
      <c r="I30" s="93">
        <v>11333786.170000002</v>
      </c>
      <c r="J30" s="93">
        <v>10365364.079999998</v>
      </c>
      <c r="K30" s="93">
        <v>11393166.450000001</v>
      </c>
      <c r="L30" s="93">
        <v>10047949.390000001</v>
      </c>
      <c r="M30" s="93">
        <v>11389148.710000001</v>
      </c>
      <c r="N30" s="94">
        <f t="shared" si="1"/>
        <v>125182599.65000001</v>
      </c>
    </row>
    <row r="31" spans="1:19" s="88" customFormat="1" x14ac:dyDescent="0.2">
      <c r="A31" s="92" t="s">
        <v>283</v>
      </c>
      <c r="B31" s="93">
        <v>3376573</v>
      </c>
      <c r="C31" s="93">
        <v>4414906</v>
      </c>
      <c r="D31" s="93">
        <v>2630513</v>
      </c>
      <c r="E31" s="93">
        <v>2564284</v>
      </c>
      <c r="F31" s="93">
        <v>1925391</v>
      </c>
      <c r="G31" s="93">
        <v>1922345</v>
      </c>
      <c r="H31" s="93">
        <v>1684994</v>
      </c>
      <c r="I31" s="93">
        <v>1546823</v>
      </c>
      <c r="J31" s="93">
        <v>1699014</v>
      </c>
      <c r="K31" s="93">
        <v>2410628</v>
      </c>
      <c r="L31" s="93">
        <v>3256750</v>
      </c>
      <c r="M31" s="93">
        <v>3535679</v>
      </c>
      <c r="N31" s="94">
        <f t="shared" si="1"/>
        <v>30967900</v>
      </c>
    </row>
    <row r="32" spans="1:19" s="88" customFormat="1" x14ac:dyDescent="0.2">
      <c r="A32" s="92" t="s">
        <v>16</v>
      </c>
      <c r="B32" s="96">
        <f t="shared" ref="B32:N32" si="2">SUM(B8:B31)</f>
        <v>165569859.17264581</v>
      </c>
      <c r="C32" s="96">
        <f t="shared" si="2"/>
        <v>152986548.49312499</v>
      </c>
      <c r="D32" s="96">
        <f t="shared" si="2"/>
        <v>136402833.19849426</v>
      </c>
      <c r="E32" s="96">
        <f t="shared" si="2"/>
        <v>105977759.87340903</v>
      </c>
      <c r="F32" s="96">
        <f t="shared" si="2"/>
        <v>72708699.037193194</v>
      </c>
      <c r="G32" s="96">
        <f t="shared" si="2"/>
        <v>57924936.631836668</v>
      </c>
      <c r="H32" s="96">
        <f t="shared" si="2"/>
        <v>46392590.804499999</v>
      </c>
      <c r="I32" s="96">
        <f t="shared" si="2"/>
        <v>50072400.208999999</v>
      </c>
      <c r="J32" s="96">
        <f t="shared" si="2"/>
        <v>56200755.743500002</v>
      </c>
      <c r="K32" s="96">
        <f t="shared" si="2"/>
        <v>95477254.310390279</v>
      </c>
      <c r="L32" s="96">
        <f t="shared" si="2"/>
        <v>139158832.588285</v>
      </c>
      <c r="M32" s="96">
        <f t="shared" si="2"/>
        <v>173870532.34545556</v>
      </c>
      <c r="N32" s="96">
        <f t="shared" si="2"/>
        <v>1252743002.4078348</v>
      </c>
    </row>
    <row r="33" spans="1:19" s="88" customFormat="1" x14ac:dyDescent="0.2">
      <c r="A33" s="92" t="s">
        <v>74</v>
      </c>
      <c r="B33" s="97">
        <v>-2.4214386940002441E-8</v>
      </c>
      <c r="C33" s="97">
        <v>0</v>
      </c>
      <c r="D33" s="97">
        <v>1.862645149230957E-8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/>
    </row>
    <row r="34" spans="1:19" s="88" customFormat="1" x14ac:dyDescent="0.2">
      <c r="A34" s="92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9" s="88" customFormat="1" x14ac:dyDescent="0.2">
      <c r="A35" s="92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9" s="88" customFormat="1" x14ac:dyDescent="0.2">
      <c r="A36" s="92" t="s">
        <v>284</v>
      </c>
      <c r="B36" s="94">
        <f t="shared" ref="B36:M37" si="3">B8</f>
        <v>736</v>
      </c>
      <c r="C36" s="94">
        <f t="shared" si="3"/>
        <v>736</v>
      </c>
      <c r="D36" s="94">
        <f t="shared" si="3"/>
        <v>736</v>
      </c>
      <c r="E36" s="94">
        <f t="shared" si="3"/>
        <v>736</v>
      </c>
      <c r="F36" s="94">
        <f t="shared" si="3"/>
        <v>736</v>
      </c>
      <c r="G36" s="94">
        <f t="shared" si="3"/>
        <v>736</v>
      </c>
      <c r="H36" s="94">
        <f t="shared" si="3"/>
        <v>736</v>
      </c>
      <c r="I36" s="94">
        <f t="shared" si="3"/>
        <v>736</v>
      </c>
      <c r="J36" s="94">
        <f t="shared" si="3"/>
        <v>736</v>
      </c>
      <c r="K36" s="94">
        <f t="shared" si="3"/>
        <v>736</v>
      </c>
      <c r="L36" s="94">
        <f t="shared" si="3"/>
        <v>736</v>
      </c>
      <c r="M36" s="94">
        <f t="shared" si="3"/>
        <v>736</v>
      </c>
      <c r="N36" s="94">
        <f>SUM(B36:M36)</f>
        <v>8832</v>
      </c>
    </row>
    <row r="37" spans="1:19" s="88" customFormat="1" x14ac:dyDescent="0.2">
      <c r="A37" s="92" t="s">
        <v>285</v>
      </c>
      <c r="B37" s="94">
        <f t="shared" si="3"/>
        <v>97939022</v>
      </c>
      <c r="C37" s="94">
        <f t="shared" si="3"/>
        <v>84388896</v>
      </c>
      <c r="D37" s="94">
        <f t="shared" si="3"/>
        <v>77323969</v>
      </c>
      <c r="E37" s="94">
        <f t="shared" si="3"/>
        <v>53507958</v>
      </c>
      <c r="F37" s="94">
        <f t="shared" si="3"/>
        <v>30480725</v>
      </c>
      <c r="G37" s="94">
        <f t="shared" si="3"/>
        <v>20098155</v>
      </c>
      <c r="H37" s="94">
        <f t="shared" si="3"/>
        <v>14466554</v>
      </c>
      <c r="I37" s="94">
        <f t="shared" si="3"/>
        <v>13798925</v>
      </c>
      <c r="J37" s="94">
        <f t="shared" si="3"/>
        <v>20484242</v>
      </c>
      <c r="K37" s="94">
        <f t="shared" si="3"/>
        <v>47350638</v>
      </c>
      <c r="L37" s="94">
        <f t="shared" si="3"/>
        <v>77723497</v>
      </c>
      <c r="M37" s="94">
        <f t="shared" si="3"/>
        <v>101901968</v>
      </c>
      <c r="N37" s="94">
        <f t="shared" ref="N37:N49" si="4">SUM(B37:M37)</f>
        <v>639464549</v>
      </c>
    </row>
    <row r="38" spans="1:19" s="88" customFormat="1" x14ac:dyDescent="0.2">
      <c r="A38" s="92" t="s">
        <v>286</v>
      </c>
      <c r="B38" s="94">
        <f t="shared" ref="B38:M38" si="5">B18</f>
        <v>0</v>
      </c>
      <c r="C38" s="94">
        <f t="shared" si="5"/>
        <v>0</v>
      </c>
      <c r="D38" s="94">
        <f t="shared" si="5"/>
        <v>0</v>
      </c>
      <c r="E38" s="94">
        <f t="shared" si="5"/>
        <v>0</v>
      </c>
      <c r="F38" s="94">
        <f t="shared" si="5"/>
        <v>0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0</v>
      </c>
      <c r="K38" s="94">
        <f t="shared" si="5"/>
        <v>0</v>
      </c>
      <c r="L38" s="94">
        <f t="shared" si="5"/>
        <v>0</v>
      </c>
      <c r="M38" s="94">
        <f t="shared" si="5"/>
        <v>0</v>
      </c>
      <c r="N38" s="94">
        <f t="shared" si="4"/>
        <v>0</v>
      </c>
    </row>
    <row r="39" spans="1:19" s="88" customFormat="1" x14ac:dyDescent="0.2">
      <c r="A39" s="92" t="s">
        <v>287</v>
      </c>
      <c r="B39" s="94">
        <f t="shared" ref="B39:M39" si="6">SUM(B10:B11)</f>
        <v>32928097</v>
      </c>
      <c r="C39" s="94">
        <f t="shared" si="6"/>
        <v>30624982</v>
      </c>
      <c r="D39" s="94">
        <f t="shared" si="6"/>
        <v>27968358</v>
      </c>
      <c r="E39" s="94">
        <f t="shared" si="6"/>
        <v>20038502</v>
      </c>
      <c r="F39" s="94">
        <f t="shared" si="6"/>
        <v>14236908</v>
      </c>
      <c r="G39" s="94">
        <f t="shared" si="6"/>
        <v>10978875</v>
      </c>
      <c r="H39" s="94">
        <f t="shared" si="6"/>
        <v>9137542</v>
      </c>
      <c r="I39" s="94">
        <f t="shared" si="6"/>
        <v>9432504</v>
      </c>
      <c r="J39" s="94">
        <f t="shared" si="6"/>
        <v>10596109</v>
      </c>
      <c r="K39" s="94">
        <f t="shared" si="6"/>
        <v>17665776</v>
      </c>
      <c r="L39" s="94">
        <f t="shared" si="6"/>
        <v>26773535</v>
      </c>
      <c r="M39" s="94">
        <f t="shared" si="6"/>
        <v>35555055</v>
      </c>
      <c r="N39" s="94">
        <f t="shared" si="4"/>
        <v>245936243</v>
      </c>
    </row>
    <row r="40" spans="1:19" s="88" customFormat="1" x14ac:dyDescent="0.2">
      <c r="A40" s="92" t="s">
        <v>288</v>
      </c>
      <c r="B40" s="94">
        <f t="shared" ref="B40:M40" si="7">SUM(B14:B15)</f>
        <v>7888189</v>
      </c>
      <c r="C40" s="94">
        <f t="shared" si="7"/>
        <v>7769589</v>
      </c>
      <c r="D40" s="94">
        <f t="shared" si="7"/>
        <v>7323085</v>
      </c>
      <c r="E40" s="94">
        <f t="shared" si="7"/>
        <v>5619867</v>
      </c>
      <c r="F40" s="94">
        <f t="shared" si="7"/>
        <v>4403676</v>
      </c>
      <c r="G40" s="94">
        <f t="shared" si="7"/>
        <v>3602353</v>
      </c>
      <c r="H40" s="94">
        <f t="shared" si="7"/>
        <v>2860641</v>
      </c>
      <c r="I40" s="94">
        <f t="shared" si="7"/>
        <v>2970849</v>
      </c>
      <c r="J40" s="94">
        <f t="shared" si="7"/>
        <v>3405163</v>
      </c>
      <c r="K40" s="94">
        <f t="shared" si="7"/>
        <v>5305866</v>
      </c>
      <c r="L40" s="94">
        <f t="shared" si="7"/>
        <v>7269688</v>
      </c>
      <c r="M40" s="94">
        <f t="shared" si="7"/>
        <v>8471575</v>
      </c>
      <c r="N40" s="94">
        <f t="shared" si="4"/>
        <v>66890541</v>
      </c>
    </row>
    <row r="41" spans="1:19" x14ac:dyDescent="0.2">
      <c r="A41" s="92" t="s">
        <v>289</v>
      </c>
      <c r="B41" s="98">
        <f t="shared" ref="B41:M41" si="8">SUM(B19:B20)</f>
        <v>1161136</v>
      </c>
      <c r="C41" s="98">
        <f t="shared" si="8"/>
        <v>1161191</v>
      </c>
      <c r="D41" s="98">
        <f t="shared" si="8"/>
        <v>1058245</v>
      </c>
      <c r="E41" s="98">
        <f t="shared" si="8"/>
        <v>840349</v>
      </c>
      <c r="F41" s="98">
        <f t="shared" si="8"/>
        <v>780885</v>
      </c>
      <c r="G41" s="98">
        <f t="shared" si="8"/>
        <v>615102</v>
      </c>
      <c r="H41" s="98">
        <f t="shared" si="8"/>
        <v>581128</v>
      </c>
      <c r="I41" s="98">
        <f t="shared" si="8"/>
        <v>636053</v>
      </c>
      <c r="J41" s="98">
        <f t="shared" si="8"/>
        <v>642739</v>
      </c>
      <c r="K41" s="98">
        <f t="shared" si="8"/>
        <v>909563</v>
      </c>
      <c r="L41" s="98">
        <f t="shared" si="8"/>
        <v>1037256</v>
      </c>
      <c r="M41" s="98">
        <f t="shared" si="8"/>
        <v>1321731</v>
      </c>
      <c r="N41" s="94">
        <f t="shared" si="4"/>
        <v>10745378</v>
      </c>
      <c r="O41" s="94"/>
      <c r="P41" s="88"/>
      <c r="Q41" s="88"/>
      <c r="R41" s="88"/>
      <c r="S41" s="88"/>
    </row>
    <row r="42" spans="1:19" x14ac:dyDescent="0.2">
      <c r="A42" s="92" t="s">
        <v>290</v>
      </c>
      <c r="B42" s="94">
        <f t="shared" ref="B42:M42" si="9">SUM(B23:B24)</f>
        <v>734470</v>
      </c>
      <c r="C42" s="94">
        <f t="shared" si="9"/>
        <v>730359</v>
      </c>
      <c r="D42" s="94">
        <f t="shared" si="9"/>
        <v>680496</v>
      </c>
      <c r="E42" s="94">
        <f t="shared" si="9"/>
        <v>469537</v>
      </c>
      <c r="F42" s="94">
        <f t="shared" si="9"/>
        <v>402401</v>
      </c>
      <c r="G42" s="94">
        <f t="shared" si="9"/>
        <v>248868</v>
      </c>
      <c r="H42" s="94">
        <f t="shared" si="9"/>
        <v>180391</v>
      </c>
      <c r="I42" s="94">
        <f t="shared" si="9"/>
        <v>146949</v>
      </c>
      <c r="J42" s="94">
        <f t="shared" si="9"/>
        <v>163570</v>
      </c>
      <c r="K42" s="94">
        <f t="shared" si="9"/>
        <v>364476</v>
      </c>
      <c r="L42" s="94">
        <f t="shared" si="9"/>
        <v>554566</v>
      </c>
      <c r="M42" s="94">
        <f t="shared" si="9"/>
        <v>813325</v>
      </c>
      <c r="N42" s="94">
        <f t="shared" si="4"/>
        <v>5489408</v>
      </c>
    </row>
    <row r="43" spans="1:19" x14ac:dyDescent="0.2">
      <c r="A43" s="92" t="s">
        <v>291</v>
      </c>
      <c r="B43" s="94">
        <f>SUM(B27:B28)</f>
        <v>2998650.8943750001</v>
      </c>
      <c r="C43" s="94">
        <f t="shared" ref="C43:M43" si="10">SUM(C27:C28)</f>
        <v>4620973.8603750002</v>
      </c>
      <c r="D43" s="94">
        <f t="shared" si="10"/>
        <v>-230183.26163159739</v>
      </c>
      <c r="E43" s="94">
        <f t="shared" si="10"/>
        <v>2722328.7807902782</v>
      </c>
      <c r="F43" s="94">
        <f t="shared" si="10"/>
        <v>1246699.5224090284</v>
      </c>
      <c r="G43" s="94">
        <f t="shared" si="10"/>
        <v>1711965.7117916665</v>
      </c>
      <c r="H43" s="94">
        <f t="shared" si="10"/>
        <v>204785.59449999995</v>
      </c>
      <c r="I43" s="94">
        <f t="shared" si="10"/>
        <v>2315404.6089999997</v>
      </c>
      <c r="J43" s="94">
        <f t="shared" si="10"/>
        <v>955360.63349999976</v>
      </c>
      <c r="K43" s="94">
        <f t="shared" si="10"/>
        <v>1332643.2697923623</v>
      </c>
      <c r="L43" s="94">
        <f t="shared" si="10"/>
        <v>4079298.5974499993</v>
      </c>
      <c r="M43" s="94">
        <f t="shared" si="10"/>
        <v>-138472.44999652982</v>
      </c>
      <c r="N43" s="94">
        <f>SUM(B43:M43)</f>
        <v>21819455.762355205</v>
      </c>
    </row>
    <row r="44" spans="1:19" x14ac:dyDescent="0.2">
      <c r="A44" s="87" t="s">
        <v>292</v>
      </c>
      <c r="B44" s="94">
        <f t="shared" ref="B44:M44" si="11">SUM(B12:B13)</f>
        <v>3584</v>
      </c>
      <c r="C44" s="94">
        <f t="shared" si="11"/>
        <v>3704</v>
      </c>
      <c r="D44" s="94">
        <f t="shared" si="11"/>
        <v>3231</v>
      </c>
      <c r="E44" s="94">
        <f t="shared" si="11"/>
        <v>2806</v>
      </c>
      <c r="F44" s="94">
        <f t="shared" si="11"/>
        <v>2070</v>
      </c>
      <c r="G44" s="94">
        <f t="shared" si="11"/>
        <v>1945</v>
      </c>
      <c r="H44" s="94">
        <f t="shared" si="11"/>
        <v>1693</v>
      </c>
      <c r="I44" s="94">
        <f t="shared" si="11"/>
        <v>1910</v>
      </c>
      <c r="J44" s="94">
        <f t="shared" si="11"/>
        <v>2000</v>
      </c>
      <c r="K44" s="94">
        <f t="shared" si="11"/>
        <v>2796</v>
      </c>
      <c r="L44" s="94">
        <f t="shared" si="11"/>
        <v>3910</v>
      </c>
      <c r="M44" s="94">
        <f t="shared" si="11"/>
        <v>4218</v>
      </c>
      <c r="N44" s="94">
        <f t="shared" si="4"/>
        <v>33867</v>
      </c>
    </row>
    <row r="45" spans="1:19" x14ac:dyDescent="0.2">
      <c r="A45" s="87" t="s">
        <v>293</v>
      </c>
      <c r="B45" s="98">
        <f t="shared" ref="B45:M45" si="12">SUM(B16:B17)</f>
        <v>2265846</v>
      </c>
      <c r="C45" s="98">
        <f t="shared" si="12"/>
        <v>2422810</v>
      </c>
      <c r="D45" s="98">
        <f t="shared" si="12"/>
        <v>2062550</v>
      </c>
      <c r="E45" s="98">
        <f t="shared" si="12"/>
        <v>2310270</v>
      </c>
      <c r="F45" s="98">
        <f t="shared" si="12"/>
        <v>2150213</v>
      </c>
      <c r="G45" s="98">
        <f t="shared" si="12"/>
        <v>2264391</v>
      </c>
      <c r="H45" s="98">
        <f t="shared" si="12"/>
        <v>2055994</v>
      </c>
      <c r="I45" s="98">
        <f t="shared" si="12"/>
        <v>2108840</v>
      </c>
      <c r="J45" s="98">
        <f t="shared" si="12"/>
        <v>2050826</v>
      </c>
      <c r="K45" s="98">
        <f t="shared" si="12"/>
        <v>2092145</v>
      </c>
      <c r="L45" s="98">
        <f t="shared" si="12"/>
        <v>2394558</v>
      </c>
      <c r="M45" s="98">
        <f t="shared" si="12"/>
        <v>2331791</v>
      </c>
      <c r="N45" s="94">
        <f t="shared" si="4"/>
        <v>26510234</v>
      </c>
    </row>
    <row r="46" spans="1:19" x14ac:dyDescent="0.2">
      <c r="A46" s="87" t="s">
        <v>294</v>
      </c>
      <c r="B46" s="98">
        <f t="shared" ref="B46:M46" si="13">SUM(B21:B22)</f>
        <v>5134678</v>
      </c>
      <c r="C46" s="98">
        <f t="shared" si="13"/>
        <v>6142926</v>
      </c>
      <c r="D46" s="98">
        <f t="shared" si="13"/>
        <v>4864940</v>
      </c>
      <c r="E46" s="98">
        <f t="shared" si="13"/>
        <v>5439076</v>
      </c>
      <c r="F46" s="98">
        <f t="shared" si="13"/>
        <v>4847607</v>
      </c>
      <c r="G46" s="98">
        <f t="shared" si="13"/>
        <v>5177332</v>
      </c>
      <c r="H46" s="98">
        <f t="shared" si="13"/>
        <v>4759620</v>
      </c>
      <c r="I46" s="98">
        <f t="shared" si="13"/>
        <v>4751470</v>
      </c>
      <c r="J46" s="98">
        <f t="shared" si="13"/>
        <v>4791537</v>
      </c>
      <c r="K46" s="98">
        <f t="shared" si="13"/>
        <v>5268534</v>
      </c>
      <c r="L46" s="98">
        <f t="shared" si="13"/>
        <v>5701725</v>
      </c>
      <c r="M46" s="98">
        <f t="shared" si="13"/>
        <v>5409481</v>
      </c>
      <c r="N46" s="94">
        <f t="shared" si="4"/>
        <v>62288926</v>
      </c>
    </row>
    <row r="47" spans="1:19" x14ac:dyDescent="0.2">
      <c r="A47" s="87" t="s">
        <v>295</v>
      </c>
      <c r="B47" s="98">
        <f t="shared" ref="B47:M47" si="14">SUM(B25:B26)</f>
        <v>47088</v>
      </c>
      <c r="C47" s="98">
        <f t="shared" si="14"/>
        <v>64390</v>
      </c>
      <c r="D47" s="98">
        <f t="shared" si="14"/>
        <v>37100</v>
      </c>
      <c r="E47" s="98">
        <f t="shared" si="14"/>
        <v>47661</v>
      </c>
      <c r="F47" s="98">
        <f t="shared" si="14"/>
        <v>43279</v>
      </c>
      <c r="G47" s="98">
        <f t="shared" si="14"/>
        <v>48694</v>
      </c>
      <c r="H47" s="98">
        <f t="shared" si="14"/>
        <v>48436</v>
      </c>
      <c r="I47" s="98">
        <f t="shared" si="14"/>
        <v>45424</v>
      </c>
      <c r="J47" s="98">
        <f t="shared" si="14"/>
        <v>46262</v>
      </c>
      <c r="K47" s="98">
        <f t="shared" si="14"/>
        <v>44895</v>
      </c>
      <c r="L47" s="98">
        <f t="shared" si="14"/>
        <v>52241</v>
      </c>
      <c r="M47" s="98">
        <f t="shared" si="14"/>
        <v>53232</v>
      </c>
      <c r="N47" s="94">
        <f t="shared" si="4"/>
        <v>578702</v>
      </c>
    </row>
    <row r="48" spans="1:19" x14ac:dyDescent="0.2">
      <c r="A48" s="87" t="s">
        <v>296</v>
      </c>
      <c r="B48" s="98">
        <f>SUM(B29:B30)</f>
        <v>11091789.278270831</v>
      </c>
      <c r="C48" s="98">
        <f t="shared" ref="C48:M48" si="15">SUM(C29:C30)</f>
        <v>10641085.632750001</v>
      </c>
      <c r="D48" s="98">
        <f t="shared" si="15"/>
        <v>12679793.460125834</v>
      </c>
      <c r="E48" s="98">
        <f t="shared" si="15"/>
        <v>12414385.092618749</v>
      </c>
      <c r="F48" s="98">
        <f t="shared" si="15"/>
        <v>12188108.514784165</v>
      </c>
      <c r="G48" s="98">
        <f t="shared" si="15"/>
        <v>11254174.920044998</v>
      </c>
      <c r="H48" s="98">
        <f t="shared" si="15"/>
        <v>10410076.210000001</v>
      </c>
      <c r="I48" s="98">
        <f t="shared" si="15"/>
        <v>12316512.600000001</v>
      </c>
      <c r="J48" s="98">
        <f t="shared" si="15"/>
        <v>11363197.109999999</v>
      </c>
      <c r="K48" s="98">
        <f t="shared" si="15"/>
        <v>12728558.040597919</v>
      </c>
      <c r="L48" s="98">
        <f t="shared" si="15"/>
        <v>10311071.990835</v>
      </c>
      <c r="M48" s="98">
        <f t="shared" si="15"/>
        <v>14610213.795452083</v>
      </c>
      <c r="N48" s="94">
        <f t="shared" si="4"/>
        <v>142008966.64547956</v>
      </c>
    </row>
    <row r="49" spans="1:14" x14ac:dyDescent="0.2">
      <c r="A49" s="99" t="s">
        <v>15</v>
      </c>
      <c r="B49" s="98">
        <f>B31</f>
        <v>3376573</v>
      </c>
      <c r="C49" s="98">
        <f t="shared" ref="C49:M49" si="16">C31</f>
        <v>4414906</v>
      </c>
      <c r="D49" s="98">
        <f t="shared" si="16"/>
        <v>2630513</v>
      </c>
      <c r="E49" s="98">
        <f t="shared" si="16"/>
        <v>2564284</v>
      </c>
      <c r="F49" s="98">
        <f t="shared" si="16"/>
        <v>1925391</v>
      </c>
      <c r="G49" s="98">
        <f t="shared" si="16"/>
        <v>1922345</v>
      </c>
      <c r="H49" s="98">
        <f t="shared" si="16"/>
        <v>1684994</v>
      </c>
      <c r="I49" s="98">
        <f t="shared" si="16"/>
        <v>1546823</v>
      </c>
      <c r="J49" s="98">
        <f t="shared" si="16"/>
        <v>1699014</v>
      </c>
      <c r="K49" s="98">
        <f t="shared" si="16"/>
        <v>2410628</v>
      </c>
      <c r="L49" s="98">
        <f t="shared" si="16"/>
        <v>3256750</v>
      </c>
      <c r="M49" s="98">
        <f t="shared" si="16"/>
        <v>3535679</v>
      </c>
      <c r="N49" s="94">
        <f t="shared" si="4"/>
        <v>30967900</v>
      </c>
    </row>
    <row r="50" spans="1:14" x14ac:dyDescent="0.2">
      <c r="A50" s="87" t="s">
        <v>16</v>
      </c>
      <c r="B50" s="100">
        <f>SUM(B36:B49)</f>
        <v>165569859.17264584</v>
      </c>
      <c r="C50" s="100">
        <f t="shared" ref="C50:N50" si="17">SUM(C36:C49)</f>
        <v>152986548.49312499</v>
      </c>
      <c r="D50" s="100">
        <f t="shared" si="17"/>
        <v>136402833.19849426</v>
      </c>
      <c r="E50" s="100">
        <f t="shared" si="17"/>
        <v>105977759.87340903</v>
      </c>
      <c r="F50" s="100">
        <f t="shared" si="17"/>
        <v>72708699.037193194</v>
      </c>
      <c r="G50" s="100">
        <f t="shared" si="17"/>
        <v>57924936.63183666</v>
      </c>
      <c r="H50" s="100">
        <f t="shared" si="17"/>
        <v>46392590.804500006</v>
      </c>
      <c r="I50" s="100">
        <f t="shared" si="17"/>
        <v>50072400.208999999</v>
      </c>
      <c r="J50" s="100">
        <f t="shared" si="17"/>
        <v>56200755.743500002</v>
      </c>
      <c r="K50" s="100">
        <f t="shared" si="17"/>
        <v>95477254.310390279</v>
      </c>
      <c r="L50" s="100">
        <f t="shared" si="17"/>
        <v>139158832.588285</v>
      </c>
      <c r="M50" s="100">
        <f t="shared" si="17"/>
        <v>173870532.34545556</v>
      </c>
      <c r="N50" s="100">
        <f t="shared" si="17"/>
        <v>1252743002.407835</v>
      </c>
    </row>
    <row r="51" spans="1:14" x14ac:dyDescent="0.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  <row r="52" spans="1:14" x14ac:dyDescent="0.2">
      <c r="A52" s="102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">
      <c r="A53" s="103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</sheetData>
  <mergeCells count="4">
    <mergeCell ref="A1:N1"/>
    <mergeCell ref="A2:N2"/>
    <mergeCell ref="A3:N3"/>
    <mergeCell ref="A4:N4"/>
  </mergeCells>
  <printOptions horizontalCentered="1"/>
  <pageMargins left="0.75" right="0.75" top="0.78" bottom="1" header="0.5" footer="0.5"/>
  <pageSetup scale="60" orientation="landscape" blackAndWhite="1" horizontalDpi="300" verticalDpi="300" r:id="rId1"/>
  <headerFooter alignWithMargins="0"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1" ySplit="7" topLeftCell="B8" activePane="bottomRight" state="frozen"/>
      <selection activeCell="C42" sqref="C42"/>
      <selection pane="topRight" activeCell="C42" sqref="C42"/>
      <selection pane="bottomLeft" activeCell="C42" sqref="C42"/>
      <selection pane="bottomRight" sqref="A1:N1"/>
    </sheetView>
  </sheetViews>
  <sheetFormatPr defaultColWidth="9.140625" defaultRowHeight="12.75" x14ac:dyDescent="0.2"/>
  <cols>
    <col min="1" max="1" width="24.28515625" style="348" customWidth="1"/>
    <col min="2" max="4" width="12.85546875" style="348" bestFit="1" customWidth="1"/>
    <col min="5" max="13" width="12.28515625" style="348" customWidth="1"/>
    <col min="14" max="14" width="14" style="348" bestFit="1" customWidth="1"/>
    <col min="15" max="16" width="9.140625" style="348" customWidth="1"/>
    <col min="17" max="16384" width="9.140625" style="348"/>
  </cols>
  <sheetData>
    <row r="1" spans="1:14" x14ac:dyDescent="0.2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x14ac:dyDescent="0.2">
      <c r="A2" s="401" t="s">
        <v>257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x14ac:dyDescent="0.2">
      <c r="A3" s="401" t="s">
        <v>371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x14ac:dyDescent="0.2">
      <c r="A4" s="400" t="s">
        <v>259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6" spans="1:14" x14ac:dyDescent="0.2">
      <c r="N6" s="349"/>
    </row>
    <row r="7" spans="1:14" x14ac:dyDescent="0.2">
      <c r="A7" s="350" t="s">
        <v>372</v>
      </c>
      <c r="B7" s="351">
        <v>45292</v>
      </c>
      <c r="C7" s="351">
        <f>EDATE(B7,1)</f>
        <v>45323</v>
      </c>
      <c r="D7" s="351">
        <f t="shared" ref="D7:M7" si="0">EDATE(C7,1)</f>
        <v>45352</v>
      </c>
      <c r="E7" s="351">
        <f t="shared" si="0"/>
        <v>45383</v>
      </c>
      <c r="F7" s="351">
        <f t="shared" si="0"/>
        <v>45413</v>
      </c>
      <c r="G7" s="351">
        <f t="shared" si="0"/>
        <v>45444</v>
      </c>
      <c r="H7" s="351">
        <f t="shared" si="0"/>
        <v>45474</v>
      </c>
      <c r="I7" s="351">
        <f t="shared" si="0"/>
        <v>45505</v>
      </c>
      <c r="J7" s="351">
        <f t="shared" si="0"/>
        <v>45536</v>
      </c>
      <c r="K7" s="351">
        <f t="shared" si="0"/>
        <v>45566</v>
      </c>
      <c r="L7" s="351">
        <f t="shared" si="0"/>
        <v>45597</v>
      </c>
      <c r="M7" s="351">
        <f t="shared" si="0"/>
        <v>45627</v>
      </c>
      <c r="N7" s="352" t="s">
        <v>16</v>
      </c>
    </row>
    <row r="8" spans="1:14" x14ac:dyDescent="0.2">
      <c r="A8" s="353" t="s">
        <v>373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5"/>
    </row>
    <row r="9" spans="1:14" x14ac:dyDescent="0.2">
      <c r="A9" s="356" t="s">
        <v>374</v>
      </c>
      <c r="B9" s="357">
        <v>1525812.4602369822</v>
      </c>
      <c r="C9" s="357">
        <v>1507424.0940202079</v>
      </c>
      <c r="D9" s="357">
        <v>1414235.2277733958</v>
      </c>
      <c r="E9" s="357">
        <v>1046252.8973753328</v>
      </c>
      <c r="F9" s="357">
        <v>806786.56640730915</v>
      </c>
      <c r="G9" s="357">
        <v>641839.15392544214</v>
      </c>
      <c r="H9" s="357">
        <v>503816.39404528099</v>
      </c>
      <c r="I9" s="357">
        <v>517262.24018600746</v>
      </c>
      <c r="J9" s="357">
        <v>579905.83904944162</v>
      </c>
      <c r="K9" s="357">
        <v>998803.56958788738</v>
      </c>
      <c r="L9" s="357">
        <v>1358683.1182104361</v>
      </c>
      <c r="M9" s="357">
        <v>1614805.7614799649</v>
      </c>
      <c r="N9" s="355">
        <f t="shared" ref="N9:N11" si="1">SUM(B9:M9)</f>
        <v>12515627.32229769</v>
      </c>
    </row>
    <row r="10" spans="1:14" x14ac:dyDescent="0.2">
      <c r="A10" s="356" t="s">
        <v>234</v>
      </c>
      <c r="B10" s="357">
        <v>3304868.337985713</v>
      </c>
      <c r="C10" s="357">
        <v>3265039.6363065662</v>
      </c>
      <c r="D10" s="357">
        <v>3063195.0836254056</v>
      </c>
      <c r="E10" s="357">
        <v>2266155.3527518804</v>
      </c>
      <c r="F10" s="357">
        <v>1747477.7853220589</v>
      </c>
      <c r="G10" s="357">
        <v>1390206.1709197722</v>
      </c>
      <c r="H10" s="357">
        <v>1091252.6226059101</v>
      </c>
      <c r="I10" s="357">
        <v>1120375.9600709958</v>
      </c>
      <c r="J10" s="357">
        <v>1256060.293405832</v>
      </c>
      <c r="K10" s="357">
        <v>2163381.3977934327</v>
      </c>
      <c r="L10" s="357">
        <v>2942870.7234649016</v>
      </c>
      <c r="M10" s="357">
        <v>3497625.4108471298</v>
      </c>
      <c r="N10" s="355">
        <f t="shared" si="1"/>
        <v>27108508.775099598</v>
      </c>
    </row>
    <row r="11" spans="1:14" x14ac:dyDescent="0.2">
      <c r="A11" s="356" t="s">
        <v>324</v>
      </c>
      <c r="B11" s="357">
        <v>2159472.2017773045</v>
      </c>
      <c r="C11" s="357">
        <v>2133447.2696732255</v>
      </c>
      <c r="D11" s="357">
        <v>2001557.6886011986</v>
      </c>
      <c r="E11" s="357">
        <v>1480754.7498727867</v>
      </c>
      <c r="F11" s="357">
        <v>1141839.6482706319</v>
      </c>
      <c r="G11" s="357">
        <v>908390.67515478563</v>
      </c>
      <c r="H11" s="357">
        <v>713047.98334880895</v>
      </c>
      <c r="I11" s="357">
        <v>732077.79974299658</v>
      </c>
      <c r="J11" s="357">
        <v>820736.86754472612</v>
      </c>
      <c r="K11" s="357">
        <v>1413600.0326186798</v>
      </c>
      <c r="L11" s="357">
        <v>1922935.1583246621</v>
      </c>
      <c r="M11" s="357">
        <v>2285423.8276729053</v>
      </c>
      <c r="N11" s="355">
        <f t="shared" si="1"/>
        <v>17713283.902602714</v>
      </c>
    </row>
    <row r="12" spans="1:14" s="355" customFormat="1" x14ac:dyDescent="0.2">
      <c r="A12" s="356" t="s">
        <v>16</v>
      </c>
      <c r="B12" s="358">
        <f>SUM(B9:B11)</f>
        <v>6990153</v>
      </c>
      <c r="C12" s="358">
        <f t="shared" ref="C12:N12" si="2">SUM(C9:C11)</f>
        <v>6905910.9999999991</v>
      </c>
      <c r="D12" s="358">
        <f t="shared" si="2"/>
        <v>6478988</v>
      </c>
      <c r="E12" s="358">
        <f t="shared" si="2"/>
        <v>4793163</v>
      </c>
      <c r="F12" s="358">
        <f t="shared" si="2"/>
        <v>3696104</v>
      </c>
      <c r="G12" s="358">
        <f t="shared" si="2"/>
        <v>2940436</v>
      </c>
      <c r="H12" s="358">
        <f t="shared" si="2"/>
        <v>2308117</v>
      </c>
      <c r="I12" s="358">
        <f t="shared" si="2"/>
        <v>2369716</v>
      </c>
      <c r="J12" s="358">
        <f t="shared" si="2"/>
        <v>2656702.9999999995</v>
      </c>
      <c r="K12" s="358">
        <f t="shared" si="2"/>
        <v>4575785</v>
      </c>
      <c r="L12" s="358">
        <f t="shared" si="2"/>
        <v>6224489</v>
      </c>
      <c r="M12" s="358">
        <f t="shared" si="2"/>
        <v>7397855</v>
      </c>
      <c r="N12" s="358">
        <f t="shared" si="2"/>
        <v>57337420</v>
      </c>
    </row>
    <row r="13" spans="1:14" x14ac:dyDescent="0.2">
      <c r="A13" s="356" t="s">
        <v>74</v>
      </c>
      <c r="B13" s="359">
        <v>0</v>
      </c>
      <c r="C13" s="359">
        <v>0</v>
      </c>
      <c r="D13" s="359">
        <v>0</v>
      </c>
      <c r="E13" s="359">
        <v>0</v>
      </c>
      <c r="F13" s="359">
        <v>0</v>
      </c>
      <c r="G13" s="359">
        <v>0</v>
      </c>
      <c r="H13" s="359">
        <v>0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  <c r="N13" s="359">
        <v>0</v>
      </c>
    </row>
    <row r="14" spans="1:14" x14ac:dyDescent="0.2">
      <c r="A14" s="356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5"/>
    </row>
    <row r="15" spans="1:14" x14ac:dyDescent="0.2">
      <c r="A15" s="353" t="s">
        <v>375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5"/>
    </row>
    <row r="16" spans="1:14" x14ac:dyDescent="0.2">
      <c r="A16" s="356" t="s">
        <v>374</v>
      </c>
      <c r="B16" s="357">
        <v>64781.788099445781</v>
      </c>
      <c r="C16" s="357">
        <v>62303.298734296994</v>
      </c>
      <c r="D16" s="357">
        <v>60890.780535944985</v>
      </c>
      <c r="E16" s="357">
        <v>59636.098496011546</v>
      </c>
      <c r="F16" s="357">
        <v>51042.251501165934</v>
      </c>
      <c r="G16" s="357">
        <v>47748.828369264542</v>
      </c>
      <c r="H16" s="357">
        <v>39857.52540862302</v>
      </c>
      <c r="I16" s="357">
        <v>43364.041781826279</v>
      </c>
      <c r="J16" s="357">
        <v>53991.796677317157</v>
      </c>
      <c r="K16" s="357">
        <v>52665.987374037875</v>
      </c>
      <c r="L16" s="357">
        <v>75397.71249677366</v>
      </c>
      <c r="M16" s="357">
        <v>77455.13711937709</v>
      </c>
      <c r="N16" s="355">
        <f t="shared" ref="N16:N18" si="3">SUM(B16:M16)</f>
        <v>689135.24659408489</v>
      </c>
    </row>
    <row r="17" spans="1:16" x14ac:dyDescent="0.2">
      <c r="A17" s="356" t="s">
        <v>234</v>
      </c>
      <c r="B17" s="357">
        <v>233306.52204178521</v>
      </c>
      <c r="C17" s="357">
        <v>224380.43724751007</v>
      </c>
      <c r="D17" s="357">
        <v>219293.36389176466</v>
      </c>
      <c r="E17" s="357">
        <v>214774.72506450966</v>
      </c>
      <c r="F17" s="357">
        <v>183824.66005165721</v>
      </c>
      <c r="G17" s="357">
        <v>171963.65529926677</v>
      </c>
      <c r="H17" s="357">
        <v>143543.74744956251</v>
      </c>
      <c r="I17" s="357">
        <v>156172.19077469551</v>
      </c>
      <c r="J17" s="357">
        <v>194447.2153537214</v>
      </c>
      <c r="K17" s="357">
        <v>189672.41727368234</v>
      </c>
      <c r="L17" s="357">
        <v>271538.94001081452</v>
      </c>
      <c r="M17" s="357">
        <v>278948.59320417623</v>
      </c>
      <c r="N17" s="355">
        <f t="shared" si="3"/>
        <v>2481866.4676631461</v>
      </c>
    </row>
    <row r="18" spans="1:16" x14ac:dyDescent="0.2">
      <c r="A18" s="356" t="s">
        <v>324</v>
      </c>
      <c r="B18" s="357">
        <v>599947.68985876907</v>
      </c>
      <c r="C18" s="357">
        <v>576994.264018193</v>
      </c>
      <c r="D18" s="357">
        <v>563912.85557229037</v>
      </c>
      <c r="E18" s="357">
        <v>552293.17643947888</v>
      </c>
      <c r="F18" s="357">
        <v>472705.08844717691</v>
      </c>
      <c r="G18" s="357">
        <v>442204.51633146871</v>
      </c>
      <c r="H18" s="357">
        <v>369122.72714181448</v>
      </c>
      <c r="I18" s="357">
        <v>401596.76744347822</v>
      </c>
      <c r="J18" s="357">
        <v>500020.98796896148</v>
      </c>
      <c r="K18" s="357">
        <v>487742.59535227984</v>
      </c>
      <c r="L18" s="357">
        <v>698262.34749241185</v>
      </c>
      <c r="M18" s="357">
        <v>717316.26967644668</v>
      </c>
      <c r="N18" s="355">
        <f t="shared" si="3"/>
        <v>6382119.285742769</v>
      </c>
    </row>
    <row r="19" spans="1:16" s="355" customFormat="1" x14ac:dyDescent="0.2">
      <c r="A19" s="356" t="s">
        <v>16</v>
      </c>
      <c r="B19" s="358">
        <f>SUM(B16:B18)</f>
        <v>898036</v>
      </c>
      <c r="C19" s="358">
        <f t="shared" ref="C19:N19" si="4">SUM(C16:C18)</f>
        <v>863678</v>
      </c>
      <c r="D19" s="358">
        <f t="shared" si="4"/>
        <v>844097</v>
      </c>
      <c r="E19" s="358">
        <f t="shared" si="4"/>
        <v>826704.00000000012</v>
      </c>
      <c r="F19" s="358">
        <f t="shared" si="4"/>
        <v>707572</v>
      </c>
      <c r="G19" s="358">
        <f t="shared" si="4"/>
        <v>661917</v>
      </c>
      <c r="H19" s="358">
        <f t="shared" si="4"/>
        <v>552524</v>
      </c>
      <c r="I19" s="358">
        <f t="shared" si="4"/>
        <v>601133</v>
      </c>
      <c r="J19" s="358">
        <f t="shared" si="4"/>
        <v>748460</v>
      </c>
      <c r="K19" s="358">
        <f t="shared" si="4"/>
        <v>730081</v>
      </c>
      <c r="L19" s="358">
        <f t="shared" si="4"/>
        <v>1045199</v>
      </c>
      <c r="M19" s="358">
        <f t="shared" si="4"/>
        <v>1073720</v>
      </c>
      <c r="N19" s="358">
        <f t="shared" si="4"/>
        <v>9553121</v>
      </c>
    </row>
    <row r="20" spans="1:16" x14ac:dyDescent="0.2">
      <c r="A20" s="356" t="s">
        <v>74</v>
      </c>
      <c r="B20" s="359">
        <v>0</v>
      </c>
      <c r="C20" s="359">
        <v>0</v>
      </c>
      <c r="D20" s="359">
        <v>0</v>
      </c>
      <c r="E20" s="359">
        <v>0</v>
      </c>
      <c r="F20" s="359">
        <v>0</v>
      </c>
      <c r="G20" s="359">
        <v>0</v>
      </c>
      <c r="H20" s="359">
        <v>0</v>
      </c>
      <c r="I20" s="359">
        <v>0</v>
      </c>
      <c r="J20" s="359">
        <v>0</v>
      </c>
      <c r="K20" s="359">
        <v>0</v>
      </c>
      <c r="L20" s="359">
        <v>0</v>
      </c>
      <c r="M20" s="359">
        <v>0</v>
      </c>
      <c r="N20" s="359">
        <v>0</v>
      </c>
    </row>
    <row r="21" spans="1:16" x14ac:dyDescent="0.2">
      <c r="A21" s="356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5"/>
      <c r="P21" s="355"/>
    </row>
    <row r="22" spans="1:16" x14ac:dyDescent="0.2">
      <c r="A22" s="353" t="s">
        <v>376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P22" s="355"/>
    </row>
    <row r="23" spans="1:16" x14ac:dyDescent="0.2">
      <c r="A23" s="356" t="s">
        <v>233</v>
      </c>
      <c r="B23" s="357">
        <v>109890.18669061211</v>
      </c>
      <c r="C23" s="357">
        <v>113659.54839028024</v>
      </c>
      <c r="D23" s="357">
        <v>102018.02070839984</v>
      </c>
      <c r="E23" s="357">
        <v>112868.39583284021</v>
      </c>
      <c r="F23" s="357">
        <v>104971.47539013233</v>
      </c>
      <c r="G23" s="357">
        <v>108777.53557748521</v>
      </c>
      <c r="H23" s="357">
        <v>97645.516578755924</v>
      </c>
      <c r="I23" s="357">
        <v>102396.33075092416</v>
      </c>
      <c r="J23" s="357">
        <v>101161.39260294889</v>
      </c>
      <c r="K23" s="357">
        <v>101321.925279263</v>
      </c>
      <c r="L23" s="357">
        <v>117450.63212903327</v>
      </c>
      <c r="M23" s="357">
        <v>116438.9792147285</v>
      </c>
      <c r="N23" s="355">
        <f>SUM(B23:M23)</f>
        <v>1288599.9391454039</v>
      </c>
      <c r="P23" s="355"/>
    </row>
    <row r="24" spans="1:16" x14ac:dyDescent="0.2">
      <c r="A24" s="356" t="s">
        <v>234</v>
      </c>
      <c r="B24" s="357">
        <v>386922.37188210624</v>
      </c>
      <c r="C24" s="357">
        <v>400194.26096737385</v>
      </c>
      <c r="D24" s="357">
        <v>359204.54533711396</v>
      </c>
      <c r="E24" s="357">
        <v>397408.61983540334</v>
      </c>
      <c r="F24" s="357">
        <v>369603.63305474241</v>
      </c>
      <c r="G24" s="357">
        <v>383004.73718938889</v>
      </c>
      <c r="H24" s="357">
        <v>343808.99710977927</v>
      </c>
      <c r="I24" s="357">
        <v>360536.57163872034</v>
      </c>
      <c r="J24" s="357">
        <v>356188.36538179981</v>
      </c>
      <c r="K24" s="357">
        <v>356753.59951011109</v>
      </c>
      <c r="L24" s="357">
        <v>413542.63315944077</v>
      </c>
      <c r="M24" s="357">
        <v>409980.61222825159</v>
      </c>
      <c r="N24" s="355">
        <f t="shared" ref="N24:N25" si="5">SUM(B24:M24)</f>
        <v>4537148.9472942315</v>
      </c>
      <c r="P24" s="355"/>
    </row>
    <row r="25" spans="1:16" x14ac:dyDescent="0.2">
      <c r="A25" s="356" t="s">
        <v>324</v>
      </c>
      <c r="B25" s="357">
        <v>1278870.4414272816</v>
      </c>
      <c r="C25" s="357">
        <v>1322737.1906423459</v>
      </c>
      <c r="D25" s="357">
        <v>1187256.4339544862</v>
      </c>
      <c r="E25" s="357">
        <v>1313529.9843317564</v>
      </c>
      <c r="F25" s="357">
        <v>1221627.8915551251</v>
      </c>
      <c r="G25" s="357">
        <v>1265921.7272331258</v>
      </c>
      <c r="H25" s="357">
        <v>1136370.4863114648</v>
      </c>
      <c r="I25" s="357">
        <v>1191659.0976103554</v>
      </c>
      <c r="J25" s="357">
        <v>1177287.2420152512</v>
      </c>
      <c r="K25" s="357">
        <v>1179155.4752106259</v>
      </c>
      <c r="L25" s="357">
        <v>1366856.734711526</v>
      </c>
      <c r="M25" s="357">
        <v>1355083.4085570199</v>
      </c>
      <c r="N25" s="355">
        <f t="shared" si="5"/>
        <v>14996356.113560364</v>
      </c>
      <c r="P25" s="355"/>
    </row>
    <row r="26" spans="1:16" x14ac:dyDescent="0.2">
      <c r="A26" s="356" t="s">
        <v>16</v>
      </c>
      <c r="B26" s="358">
        <f>SUM(B23:B25)</f>
        <v>1775683</v>
      </c>
      <c r="C26" s="358">
        <f t="shared" ref="C26:N26" si="6">SUM(C23:C25)</f>
        <v>1836591</v>
      </c>
      <c r="D26" s="358">
        <f t="shared" si="6"/>
        <v>1648479</v>
      </c>
      <c r="E26" s="358">
        <f t="shared" si="6"/>
        <v>1823807</v>
      </c>
      <c r="F26" s="358">
        <f t="shared" si="6"/>
        <v>1696203</v>
      </c>
      <c r="G26" s="358">
        <f t="shared" si="6"/>
        <v>1757704</v>
      </c>
      <c r="H26" s="358">
        <f t="shared" si="6"/>
        <v>1577825</v>
      </c>
      <c r="I26" s="358">
        <f t="shared" si="6"/>
        <v>1654592</v>
      </c>
      <c r="J26" s="358">
        <f t="shared" si="6"/>
        <v>1634637</v>
      </c>
      <c r="K26" s="358">
        <f t="shared" si="6"/>
        <v>1637231</v>
      </c>
      <c r="L26" s="358">
        <f t="shared" si="6"/>
        <v>1897850</v>
      </c>
      <c r="M26" s="358">
        <f t="shared" si="6"/>
        <v>1881503</v>
      </c>
      <c r="N26" s="358">
        <f t="shared" si="6"/>
        <v>20822105</v>
      </c>
      <c r="P26" s="355"/>
    </row>
    <row r="27" spans="1:16" x14ac:dyDescent="0.2">
      <c r="A27" s="355" t="s">
        <v>74</v>
      </c>
      <c r="B27" s="359">
        <v>0</v>
      </c>
      <c r="C27" s="359">
        <v>0</v>
      </c>
      <c r="D27" s="359">
        <v>0</v>
      </c>
      <c r="E27" s="359">
        <v>0</v>
      </c>
      <c r="F27" s="359">
        <v>0</v>
      </c>
      <c r="G27" s="359">
        <v>0</v>
      </c>
      <c r="H27" s="359">
        <v>0</v>
      </c>
      <c r="I27" s="359">
        <v>0</v>
      </c>
      <c r="J27" s="359">
        <v>0</v>
      </c>
      <c r="K27" s="359">
        <v>0</v>
      </c>
      <c r="L27" s="359">
        <v>0</v>
      </c>
      <c r="M27" s="359">
        <v>0</v>
      </c>
      <c r="N27" s="359">
        <v>0</v>
      </c>
      <c r="P27" s="355"/>
    </row>
    <row r="28" spans="1:16" x14ac:dyDescent="0.2">
      <c r="A28" s="356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5"/>
      <c r="P28" s="355"/>
    </row>
    <row r="29" spans="1:16" x14ac:dyDescent="0.2">
      <c r="A29" s="353" t="s">
        <v>377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5"/>
      <c r="P29" s="355"/>
    </row>
    <row r="30" spans="1:16" x14ac:dyDescent="0.2">
      <c r="A30" s="356" t="s">
        <v>233</v>
      </c>
      <c r="B30" s="357">
        <v>17461.895811107672</v>
      </c>
      <c r="C30" s="357">
        <v>20883.85924782517</v>
      </c>
      <c r="D30" s="357">
        <v>14751.14331436923</v>
      </c>
      <c r="E30" s="357">
        <v>17330.084526899973</v>
      </c>
      <c r="F30" s="357">
        <v>16173.957065712822</v>
      </c>
      <c r="G30" s="357">
        <v>18050.557881444976</v>
      </c>
      <c r="H30" s="357">
        <v>17034.613502246284</v>
      </c>
      <c r="I30" s="357">
        <v>16182.435737507805</v>
      </c>
      <c r="J30" s="357">
        <v>14826.596368410286</v>
      </c>
      <c r="K30" s="357">
        <v>16206.16176866519</v>
      </c>
      <c r="L30" s="357">
        <v>17695.05928546967</v>
      </c>
      <c r="M30" s="357">
        <v>16041.36203873416</v>
      </c>
      <c r="N30" s="355">
        <f>SUM(B30:M30)</f>
        <v>202637.72654839323</v>
      </c>
      <c r="P30" s="355"/>
    </row>
    <row r="31" spans="1:16" x14ac:dyDescent="0.2">
      <c r="A31" s="356" t="s">
        <v>234</v>
      </c>
      <c r="B31" s="357">
        <v>76978.946043198433</v>
      </c>
      <c r="C31" s="357">
        <v>92064.314871782932</v>
      </c>
      <c r="D31" s="357">
        <v>65028.876449371368</v>
      </c>
      <c r="E31" s="357">
        <v>76397.869747435936</v>
      </c>
      <c r="F31" s="357">
        <v>71301.202443008791</v>
      </c>
      <c r="G31" s="357">
        <v>79574.001370544254</v>
      </c>
      <c r="H31" s="357">
        <v>75095.316559042913</v>
      </c>
      <c r="I31" s="357">
        <v>71338.57978311459</v>
      </c>
      <c r="J31" s="357">
        <v>65361.503366783523</v>
      </c>
      <c r="K31" s="357">
        <v>71443.173516351846</v>
      </c>
      <c r="L31" s="357">
        <v>78006.822896108046</v>
      </c>
      <c r="M31" s="357">
        <v>70716.671099001222</v>
      </c>
      <c r="N31" s="355">
        <f t="shared" ref="N31:N32" si="7">SUM(B31:M31)</f>
        <v>893307.27814574377</v>
      </c>
      <c r="P31" s="355"/>
    </row>
    <row r="32" spans="1:16" x14ac:dyDescent="0.2">
      <c r="A32" s="356" t="s">
        <v>324</v>
      </c>
      <c r="B32" s="357">
        <v>395722.15814569383</v>
      </c>
      <c r="C32" s="357">
        <v>473270.82588039181</v>
      </c>
      <c r="D32" s="357">
        <v>334290.98023625935</v>
      </c>
      <c r="E32" s="357">
        <v>392735.04572566407</v>
      </c>
      <c r="F32" s="357">
        <v>366534.84049127833</v>
      </c>
      <c r="G32" s="357">
        <v>409062.4407480107</v>
      </c>
      <c r="H32" s="357">
        <v>386039.06993871077</v>
      </c>
      <c r="I32" s="357">
        <v>366726.98447937757</v>
      </c>
      <c r="J32" s="357">
        <v>336000.90026480617</v>
      </c>
      <c r="K32" s="357">
        <v>367264.66471498291</v>
      </c>
      <c r="L32" s="357">
        <v>401006.11781842221</v>
      </c>
      <c r="M32" s="357">
        <v>363529.96686226455</v>
      </c>
      <c r="N32" s="355">
        <f t="shared" si="7"/>
        <v>4592183.9953058623</v>
      </c>
      <c r="P32" s="355"/>
    </row>
    <row r="33" spans="1:16" x14ac:dyDescent="0.2">
      <c r="A33" s="356" t="s">
        <v>16</v>
      </c>
      <c r="B33" s="358">
        <f>SUM(B30:B32)</f>
        <v>490162.99999999994</v>
      </c>
      <c r="C33" s="358">
        <f t="shared" ref="C33:N33" si="8">SUM(C30:C32)</f>
        <v>586218.99999999988</v>
      </c>
      <c r="D33" s="358">
        <f t="shared" si="8"/>
        <v>414070.99999999994</v>
      </c>
      <c r="E33" s="358">
        <f t="shared" si="8"/>
        <v>486463</v>
      </c>
      <c r="F33" s="358">
        <f t="shared" si="8"/>
        <v>454009.99999999994</v>
      </c>
      <c r="G33" s="358">
        <f t="shared" si="8"/>
        <v>506686.99999999994</v>
      </c>
      <c r="H33" s="358">
        <f t="shared" si="8"/>
        <v>478169</v>
      </c>
      <c r="I33" s="358">
        <f t="shared" si="8"/>
        <v>454248</v>
      </c>
      <c r="J33" s="358">
        <f t="shared" si="8"/>
        <v>416189</v>
      </c>
      <c r="K33" s="358">
        <f t="shared" si="8"/>
        <v>454913.99999999994</v>
      </c>
      <c r="L33" s="358">
        <f t="shared" si="8"/>
        <v>496707.99999999994</v>
      </c>
      <c r="M33" s="358">
        <f t="shared" si="8"/>
        <v>450287.99999999994</v>
      </c>
      <c r="N33" s="358">
        <f t="shared" si="8"/>
        <v>5688128.9999999991</v>
      </c>
      <c r="P33" s="355"/>
    </row>
    <row r="34" spans="1:16" x14ac:dyDescent="0.2">
      <c r="A34" s="356" t="s">
        <v>74</v>
      </c>
      <c r="B34" s="359">
        <v>0</v>
      </c>
      <c r="C34" s="359">
        <v>0</v>
      </c>
      <c r="D34" s="359">
        <v>0</v>
      </c>
      <c r="E34" s="359">
        <v>0</v>
      </c>
      <c r="F34" s="359">
        <v>0</v>
      </c>
      <c r="G34" s="359">
        <v>0</v>
      </c>
      <c r="H34" s="359">
        <v>0</v>
      </c>
      <c r="I34" s="359">
        <v>0</v>
      </c>
      <c r="J34" s="359">
        <v>0</v>
      </c>
      <c r="K34" s="359">
        <v>0</v>
      </c>
      <c r="L34" s="359">
        <v>0</v>
      </c>
      <c r="M34" s="359">
        <v>0</v>
      </c>
      <c r="N34" s="359">
        <v>0</v>
      </c>
      <c r="P34" s="355"/>
    </row>
    <row r="35" spans="1:16" x14ac:dyDescent="0.2">
      <c r="P35" s="355"/>
    </row>
    <row r="36" spans="1:16" x14ac:dyDescent="0.2">
      <c r="A36" s="353" t="s">
        <v>378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5"/>
      <c r="P36" s="355"/>
    </row>
    <row r="37" spans="1:16" x14ac:dyDescent="0.2">
      <c r="A37" s="356" t="s">
        <v>235</v>
      </c>
      <c r="B37" s="357">
        <v>451846.75324205903</v>
      </c>
      <c r="C37" s="357">
        <v>444605.11956579465</v>
      </c>
      <c r="D37" s="357">
        <v>405029.05748122861</v>
      </c>
      <c r="E37" s="357">
        <v>324833.19814565912</v>
      </c>
      <c r="F37" s="357">
        <v>305514.91201352666</v>
      </c>
      <c r="G37" s="357">
        <v>233682.60553026106</v>
      </c>
      <c r="H37" s="357">
        <v>220214.02136245969</v>
      </c>
      <c r="I37" s="357">
        <v>243039.47981603481</v>
      </c>
      <c r="J37" s="357">
        <v>234142.31041732067</v>
      </c>
      <c r="K37" s="357">
        <v>344165.58303362143</v>
      </c>
      <c r="L37" s="357">
        <v>402323.37806696421</v>
      </c>
      <c r="M37" s="357">
        <v>516354.96968920669</v>
      </c>
      <c r="N37" s="355">
        <f t="shared" ref="N37:N39" si="9">SUM(B37:M37)</f>
        <v>4125751.3883641367</v>
      </c>
    </row>
    <row r="38" spans="1:16" x14ac:dyDescent="0.2">
      <c r="A38" s="356" t="s">
        <v>236</v>
      </c>
      <c r="B38" s="357">
        <v>258411.56533585707</v>
      </c>
      <c r="C38" s="357">
        <v>254270.06851100363</v>
      </c>
      <c r="D38" s="357">
        <v>231636.48294305973</v>
      </c>
      <c r="E38" s="357">
        <v>185772.39872498214</v>
      </c>
      <c r="F38" s="357">
        <v>174724.25347840996</v>
      </c>
      <c r="G38" s="357">
        <v>133643.29267291827</v>
      </c>
      <c r="H38" s="357">
        <v>125940.59725088258</v>
      </c>
      <c r="I38" s="357">
        <v>138994.49750838231</v>
      </c>
      <c r="J38" s="357">
        <v>133906.1983120653</v>
      </c>
      <c r="K38" s="357">
        <v>196828.60706271773</v>
      </c>
      <c r="L38" s="357">
        <v>230089.10244796847</v>
      </c>
      <c r="M38" s="357">
        <v>295303.87244999403</v>
      </c>
      <c r="N38" s="355">
        <f t="shared" si="9"/>
        <v>2359520.9366982412</v>
      </c>
    </row>
    <row r="39" spans="1:16" x14ac:dyDescent="0.2">
      <c r="A39" s="356" t="s">
        <v>379</v>
      </c>
      <c r="B39" s="357">
        <v>347348.68142208399</v>
      </c>
      <c r="C39" s="357">
        <v>341781.81192320172</v>
      </c>
      <c r="D39" s="357">
        <v>311358.45957571169</v>
      </c>
      <c r="E39" s="357">
        <v>249709.40312935881</v>
      </c>
      <c r="F39" s="357">
        <v>234858.83450806339</v>
      </c>
      <c r="G39" s="357">
        <v>179639.1017968207</v>
      </c>
      <c r="H39" s="357">
        <v>169285.38138665777</v>
      </c>
      <c r="I39" s="357">
        <v>186832.02267558291</v>
      </c>
      <c r="J39" s="357">
        <v>179992.49127061406</v>
      </c>
      <c r="K39" s="357">
        <v>264570.80990366085</v>
      </c>
      <c r="L39" s="357">
        <v>309278.5194850674</v>
      </c>
      <c r="M39" s="357">
        <v>396938.15786079934</v>
      </c>
      <c r="N39" s="355">
        <f t="shared" si="9"/>
        <v>3171593.6749376226</v>
      </c>
    </row>
    <row r="40" spans="1:16" x14ac:dyDescent="0.2">
      <c r="A40" s="356" t="s">
        <v>16</v>
      </c>
      <c r="B40" s="358">
        <f>SUM(B37:B39)</f>
        <v>1057607</v>
      </c>
      <c r="C40" s="358">
        <f t="shared" ref="C40:N40" si="10">SUM(C37:C39)</f>
        <v>1040657</v>
      </c>
      <c r="D40" s="358">
        <f t="shared" si="10"/>
        <v>948024</v>
      </c>
      <c r="E40" s="358">
        <f t="shared" si="10"/>
        <v>760315</v>
      </c>
      <c r="F40" s="358">
        <f t="shared" si="10"/>
        <v>715098</v>
      </c>
      <c r="G40" s="358">
        <f t="shared" si="10"/>
        <v>546965</v>
      </c>
      <c r="H40" s="358">
        <f t="shared" si="10"/>
        <v>515440.00000000006</v>
      </c>
      <c r="I40" s="358">
        <f t="shared" si="10"/>
        <v>568866</v>
      </c>
      <c r="J40" s="358">
        <f t="shared" si="10"/>
        <v>548041</v>
      </c>
      <c r="K40" s="358">
        <f t="shared" si="10"/>
        <v>805565</v>
      </c>
      <c r="L40" s="358">
        <f t="shared" si="10"/>
        <v>941691</v>
      </c>
      <c r="M40" s="358">
        <f t="shared" si="10"/>
        <v>1208597</v>
      </c>
      <c r="N40" s="358">
        <f t="shared" si="10"/>
        <v>9656866</v>
      </c>
    </row>
    <row r="41" spans="1:16" x14ac:dyDescent="0.2">
      <c r="A41" s="356" t="s">
        <v>74</v>
      </c>
      <c r="B41" s="359">
        <v>0</v>
      </c>
      <c r="C41" s="359">
        <v>0</v>
      </c>
      <c r="D41" s="359">
        <v>0</v>
      </c>
      <c r="E41" s="359">
        <v>0</v>
      </c>
      <c r="F41" s="359">
        <v>0</v>
      </c>
      <c r="G41" s="359">
        <v>0</v>
      </c>
      <c r="H41" s="359">
        <v>0</v>
      </c>
      <c r="I41" s="359">
        <v>0</v>
      </c>
      <c r="J41" s="359">
        <v>0</v>
      </c>
      <c r="K41" s="359">
        <v>0</v>
      </c>
      <c r="L41" s="359">
        <v>0</v>
      </c>
      <c r="M41" s="359">
        <v>0</v>
      </c>
      <c r="N41" s="359">
        <v>0</v>
      </c>
    </row>
    <row r="42" spans="1:16" x14ac:dyDescent="0.2">
      <c r="A42" s="356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5"/>
      <c r="P42" s="355"/>
    </row>
    <row r="43" spans="1:16" x14ac:dyDescent="0.2">
      <c r="A43" s="348" t="s">
        <v>380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5"/>
      <c r="P43" s="355"/>
    </row>
    <row r="44" spans="1:16" x14ac:dyDescent="0.2">
      <c r="A44" s="356" t="s">
        <v>235</v>
      </c>
      <c r="B44" s="357">
        <v>36914.522602558856</v>
      </c>
      <c r="C44" s="357">
        <v>42977.861926386126</v>
      </c>
      <c r="D44" s="357">
        <v>39300.636495828607</v>
      </c>
      <c r="E44" s="357">
        <v>28537.094939323237</v>
      </c>
      <c r="F44" s="357">
        <v>23457.154019207559</v>
      </c>
      <c r="G44" s="357">
        <v>24295.075066605037</v>
      </c>
      <c r="H44" s="357">
        <v>23421.854366572516</v>
      </c>
      <c r="I44" s="357">
        <v>23956.341026167756</v>
      </c>
      <c r="J44" s="357">
        <v>33765.722275083492</v>
      </c>
      <c r="K44" s="357">
        <v>37081.750249890523</v>
      </c>
      <c r="L44" s="357">
        <v>34074.861657250985</v>
      </c>
      <c r="M44" s="357">
        <v>40339.302032453648</v>
      </c>
      <c r="N44" s="355">
        <f t="shared" ref="N44:N46" si="11">SUM(B44:M44)</f>
        <v>388122.17665732827</v>
      </c>
      <c r="P44" s="355"/>
    </row>
    <row r="45" spans="1:16" x14ac:dyDescent="0.2">
      <c r="A45" s="356" t="s">
        <v>236</v>
      </c>
      <c r="B45" s="357">
        <v>11357.972963348486</v>
      </c>
      <c r="C45" s="357">
        <v>13223.559709494408</v>
      </c>
      <c r="D45" s="357">
        <v>12092.139767535989</v>
      </c>
      <c r="E45" s="357">
        <v>8780.3804552215588</v>
      </c>
      <c r="F45" s="357">
        <v>7217.3687308851322</v>
      </c>
      <c r="G45" s="357">
        <v>7475.1828357626928</v>
      </c>
      <c r="H45" s="357">
        <v>7206.5076260413543</v>
      </c>
      <c r="I45" s="357">
        <v>7370.9601125143172</v>
      </c>
      <c r="J45" s="357">
        <v>10389.140469657536</v>
      </c>
      <c r="K45" s="357">
        <v>11409.426076194264</v>
      </c>
      <c r="L45" s="357">
        <v>10484.257418137895</v>
      </c>
      <c r="M45" s="357">
        <v>12411.71954945443</v>
      </c>
      <c r="N45" s="355">
        <f t="shared" si="11"/>
        <v>119418.61571424807</v>
      </c>
      <c r="P45" s="355"/>
    </row>
    <row r="46" spans="1:16" x14ac:dyDescent="0.2">
      <c r="A46" s="356" t="s">
        <v>379</v>
      </c>
      <c r="B46" s="357">
        <v>55256.504434092662</v>
      </c>
      <c r="C46" s="357">
        <v>64332.578364119472</v>
      </c>
      <c r="D46" s="357">
        <v>58828.223736635402</v>
      </c>
      <c r="E46" s="357">
        <v>42716.524605455204</v>
      </c>
      <c r="F46" s="357">
        <v>35112.477249907308</v>
      </c>
      <c r="G46" s="357">
        <v>36366.742097632268</v>
      </c>
      <c r="H46" s="357">
        <v>35059.638007386129</v>
      </c>
      <c r="I46" s="357">
        <v>35859.698861317927</v>
      </c>
      <c r="J46" s="357">
        <v>50543.137255258975</v>
      </c>
      <c r="K46" s="357">
        <v>55506.823673915213</v>
      </c>
      <c r="L46" s="357">
        <v>51005.88092461112</v>
      </c>
      <c r="M46" s="357">
        <v>60382.978418091923</v>
      </c>
      <c r="N46" s="355">
        <f t="shared" si="11"/>
        <v>580971.20762842358</v>
      </c>
      <c r="P46" s="355"/>
    </row>
    <row r="47" spans="1:16" x14ac:dyDescent="0.2">
      <c r="A47" s="356" t="s">
        <v>16</v>
      </c>
      <c r="B47" s="358">
        <f>SUM(B44:B46)</f>
        <v>103529</v>
      </c>
      <c r="C47" s="358">
        <f t="shared" ref="C47:N47" si="12">SUM(C44:C46)</f>
        <v>120534</v>
      </c>
      <c r="D47" s="358">
        <f t="shared" si="12"/>
        <v>110221</v>
      </c>
      <c r="E47" s="358">
        <f t="shared" si="12"/>
        <v>80034</v>
      </c>
      <c r="F47" s="358">
        <f t="shared" si="12"/>
        <v>65787</v>
      </c>
      <c r="G47" s="358">
        <f t="shared" si="12"/>
        <v>68137</v>
      </c>
      <c r="H47" s="358">
        <f t="shared" si="12"/>
        <v>65688</v>
      </c>
      <c r="I47" s="358">
        <f t="shared" si="12"/>
        <v>67187</v>
      </c>
      <c r="J47" s="358">
        <f t="shared" si="12"/>
        <v>94698</v>
      </c>
      <c r="K47" s="358">
        <f t="shared" si="12"/>
        <v>103998</v>
      </c>
      <c r="L47" s="358">
        <f t="shared" si="12"/>
        <v>95565</v>
      </c>
      <c r="M47" s="358">
        <f t="shared" si="12"/>
        <v>113134</v>
      </c>
      <c r="N47" s="358">
        <f t="shared" si="12"/>
        <v>1088512</v>
      </c>
      <c r="P47" s="355"/>
    </row>
    <row r="48" spans="1:16" x14ac:dyDescent="0.2">
      <c r="A48" s="356" t="s">
        <v>74</v>
      </c>
      <c r="B48" s="359">
        <v>0</v>
      </c>
      <c r="C48" s="359">
        <v>0</v>
      </c>
      <c r="D48" s="359">
        <v>0</v>
      </c>
      <c r="E48" s="359">
        <v>0</v>
      </c>
      <c r="F48" s="359">
        <v>0</v>
      </c>
      <c r="G48" s="359">
        <v>0</v>
      </c>
      <c r="H48" s="359">
        <v>0</v>
      </c>
      <c r="I48" s="359">
        <v>0</v>
      </c>
      <c r="J48" s="359">
        <v>0</v>
      </c>
      <c r="K48" s="359">
        <v>0</v>
      </c>
      <c r="L48" s="359">
        <v>0</v>
      </c>
      <c r="M48" s="359">
        <v>0</v>
      </c>
      <c r="N48" s="359">
        <v>0</v>
      </c>
      <c r="P48" s="355"/>
    </row>
    <row r="49" spans="1:16" x14ac:dyDescent="0.2">
      <c r="P49" s="355"/>
    </row>
    <row r="50" spans="1:16" x14ac:dyDescent="0.2">
      <c r="A50" s="353" t="s">
        <v>381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5"/>
      <c r="P50" s="355"/>
    </row>
    <row r="51" spans="1:16" x14ac:dyDescent="0.2">
      <c r="A51" s="356" t="s">
        <v>235</v>
      </c>
      <c r="B51" s="357">
        <v>702408.96633841889</v>
      </c>
      <c r="C51" s="357">
        <v>702308.47261391347</v>
      </c>
      <c r="D51" s="357">
        <v>685021.9756268193</v>
      </c>
      <c r="E51" s="357">
        <v>681855.04397926573</v>
      </c>
      <c r="F51" s="357">
        <v>592687.55336509622</v>
      </c>
      <c r="G51" s="357">
        <v>576225.89310502168</v>
      </c>
      <c r="H51" s="357">
        <v>500426.03831526934</v>
      </c>
      <c r="I51" s="357">
        <v>514868.75994537666</v>
      </c>
      <c r="J51" s="357">
        <v>510776.89193933533</v>
      </c>
      <c r="K51" s="357">
        <v>576915.95001329272</v>
      </c>
      <c r="L51" s="357">
        <v>707611.3885235053</v>
      </c>
      <c r="M51" s="357">
        <v>706083.09572494728</v>
      </c>
      <c r="N51" s="355">
        <f t="shared" ref="N51:N53" si="13">SUM(B51:M51)</f>
        <v>7457190.0294902623</v>
      </c>
      <c r="P51" s="355"/>
    </row>
    <row r="52" spans="1:16" x14ac:dyDescent="0.2">
      <c r="A52" s="356" t="s">
        <v>236</v>
      </c>
      <c r="B52" s="357">
        <v>468208.27707923116</v>
      </c>
      <c r="C52" s="357">
        <v>468141.29047190858</v>
      </c>
      <c r="D52" s="357">
        <v>456618.5432421086</v>
      </c>
      <c r="E52" s="357">
        <v>454507.54568742425</v>
      </c>
      <c r="F52" s="357">
        <v>395070.72304893838</v>
      </c>
      <c r="G52" s="357">
        <v>384097.79138433927</v>
      </c>
      <c r="H52" s="357">
        <v>333571.50098264928</v>
      </c>
      <c r="I52" s="357">
        <v>343198.65857150825</v>
      </c>
      <c r="J52" s="357">
        <v>340471.12153687817</v>
      </c>
      <c r="K52" s="357">
        <v>384557.76608795451</v>
      </c>
      <c r="L52" s="357">
        <v>471676.08179792052</v>
      </c>
      <c r="M52" s="357">
        <v>470657.35998146137</v>
      </c>
      <c r="N52" s="355">
        <f t="shared" si="13"/>
        <v>4970776.6598723223</v>
      </c>
      <c r="O52" s="354"/>
      <c r="P52" s="355"/>
    </row>
    <row r="53" spans="1:16" x14ac:dyDescent="0.2">
      <c r="A53" s="356" t="s">
        <v>379</v>
      </c>
      <c r="B53" s="357">
        <v>611725.75658235</v>
      </c>
      <c r="C53" s="357">
        <v>611638.23691417812</v>
      </c>
      <c r="D53" s="357">
        <v>596583.48113107227</v>
      </c>
      <c r="E53" s="357">
        <v>593825.41033331014</v>
      </c>
      <c r="F53" s="357">
        <v>516169.72358596546</v>
      </c>
      <c r="G53" s="357">
        <v>501833.31551063916</v>
      </c>
      <c r="H53" s="357">
        <v>435819.46070208144</v>
      </c>
      <c r="I53" s="357">
        <v>448397.58148311515</v>
      </c>
      <c r="J53" s="357">
        <v>444833.98652378656</v>
      </c>
      <c r="K53" s="357">
        <v>502434.28389875282</v>
      </c>
      <c r="L53" s="357">
        <v>616256.52967857418</v>
      </c>
      <c r="M53" s="357">
        <v>614925.5442935914</v>
      </c>
      <c r="N53" s="355">
        <f t="shared" si="13"/>
        <v>6494443.3106374172</v>
      </c>
      <c r="P53" s="355"/>
    </row>
    <row r="54" spans="1:16" x14ac:dyDescent="0.2">
      <c r="A54" s="356" t="s">
        <v>16</v>
      </c>
      <c r="B54" s="358">
        <f>SUM(B51:B53)</f>
        <v>1782343</v>
      </c>
      <c r="C54" s="358">
        <f t="shared" ref="C54:N54" si="14">SUM(C51:C53)</f>
        <v>1782088.0000000002</v>
      </c>
      <c r="D54" s="358">
        <f t="shared" si="14"/>
        <v>1738224</v>
      </c>
      <c r="E54" s="358">
        <f t="shared" si="14"/>
        <v>1730188</v>
      </c>
      <c r="F54" s="358">
        <f t="shared" si="14"/>
        <v>1503928</v>
      </c>
      <c r="G54" s="358">
        <f t="shared" si="14"/>
        <v>1462157.0000000002</v>
      </c>
      <c r="H54" s="358">
        <f t="shared" si="14"/>
        <v>1269817</v>
      </c>
      <c r="I54" s="358">
        <f t="shared" si="14"/>
        <v>1306465</v>
      </c>
      <c r="J54" s="358">
        <f t="shared" si="14"/>
        <v>1296082</v>
      </c>
      <c r="K54" s="358">
        <f t="shared" si="14"/>
        <v>1463908</v>
      </c>
      <c r="L54" s="358">
        <f t="shared" si="14"/>
        <v>1795544</v>
      </c>
      <c r="M54" s="358">
        <f t="shared" si="14"/>
        <v>1791666</v>
      </c>
      <c r="N54" s="358">
        <f t="shared" si="14"/>
        <v>18922410.000000004</v>
      </c>
      <c r="P54" s="355"/>
    </row>
    <row r="55" spans="1:16" x14ac:dyDescent="0.2">
      <c r="A55" s="356" t="s">
        <v>74</v>
      </c>
      <c r="B55" s="359">
        <v>0</v>
      </c>
      <c r="C55" s="359">
        <v>0</v>
      </c>
      <c r="D55" s="359">
        <v>0</v>
      </c>
      <c r="E55" s="359">
        <v>0</v>
      </c>
      <c r="F55" s="359">
        <v>0</v>
      </c>
      <c r="G55" s="359">
        <v>0</v>
      </c>
      <c r="H55" s="359">
        <v>0</v>
      </c>
      <c r="I55" s="359">
        <v>0</v>
      </c>
      <c r="J55" s="359">
        <v>0</v>
      </c>
      <c r="K55" s="359">
        <v>0</v>
      </c>
      <c r="L55" s="359">
        <v>0</v>
      </c>
      <c r="M55" s="359">
        <v>0</v>
      </c>
      <c r="N55" s="359">
        <v>0</v>
      </c>
      <c r="P55" s="355"/>
    </row>
    <row r="56" spans="1:16" x14ac:dyDescent="0.2">
      <c r="A56" s="356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5"/>
      <c r="P56" s="355"/>
    </row>
    <row r="57" spans="1:16" x14ac:dyDescent="0.2">
      <c r="A57" s="353" t="s">
        <v>382</v>
      </c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5"/>
      <c r="P57" s="355"/>
    </row>
    <row r="58" spans="1:16" x14ac:dyDescent="0.2">
      <c r="A58" s="356" t="s">
        <v>235</v>
      </c>
      <c r="B58" s="357">
        <v>1132461.8634308889</v>
      </c>
      <c r="C58" s="357">
        <v>1473147.1429914464</v>
      </c>
      <c r="D58" s="357">
        <v>1056244.8644837628</v>
      </c>
      <c r="E58" s="357">
        <v>1252910.0509753537</v>
      </c>
      <c r="F58" s="357">
        <v>1129537.7553420917</v>
      </c>
      <c r="G58" s="357">
        <v>1255033.8804062996</v>
      </c>
      <c r="H58" s="357">
        <v>1178900.3212348127</v>
      </c>
      <c r="I58" s="357">
        <v>1163766.9808741456</v>
      </c>
      <c r="J58" s="357">
        <v>1180809.639501666</v>
      </c>
      <c r="K58" s="357">
        <v>1285251.5782633922</v>
      </c>
      <c r="L58" s="357">
        <v>1319558.1629396623</v>
      </c>
      <c r="M58" s="357">
        <v>1222144.4206644685</v>
      </c>
      <c r="N58" s="355">
        <f t="shared" ref="N58:N60" si="15">SUM(B58:M58)</f>
        <v>14649766.661107991</v>
      </c>
      <c r="P58" s="355"/>
    </row>
    <row r="59" spans="1:16" x14ac:dyDescent="0.2">
      <c r="A59" s="356" t="s">
        <v>236</v>
      </c>
      <c r="B59" s="357">
        <v>828830.10286979005</v>
      </c>
      <c r="C59" s="357">
        <v>1078172.0228254304</v>
      </c>
      <c r="D59" s="357">
        <v>773048.14224253199</v>
      </c>
      <c r="E59" s="357">
        <v>916984.13868916139</v>
      </c>
      <c r="F59" s="357">
        <v>826689.9965348203</v>
      </c>
      <c r="G59" s="357">
        <v>918538.53431392508</v>
      </c>
      <c r="H59" s="357">
        <v>862817.64187806461</v>
      </c>
      <c r="I59" s="357">
        <v>851741.80042774393</v>
      </c>
      <c r="J59" s="357">
        <v>864215.04033061187</v>
      </c>
      <c r="K59" s="357">
        <v>940654.36746658012</v>
      </c>
      <c r="L59" s="357">
        <v>965762.78923735826</v>
      </c>
      <c r="M59" s="357">
        <v>894467.28283834085</v>
      </c>
      <c r="N59" s="355">
        <f t="shared" si="15"/>
        <v>10721921.85965436</v>
      </c>
      <c r="P59" s="355"/>
    </row>
    <row r="60" spans="1:16" x14ac:dyDescent="0.2">
      <c r="A60" s="356" t="s">
        <v>379</v>
      </c>
      <c r="B60" s="357">
        <v>1391043.0336993211</v>
      </c>
      <c r="C60" s="357">
        <v>1809518.834183123</v>
      </c>
      <c r="D60" s="357">
        <v>1297422.993273705</v>
      </c>
      <c r="E60" s="357">
        <v>1538993.8103354848</v>
      </c>
      <c r="F60" s="357">
        <v>1387451.2481230879</v>
      </c>
      <c r="G60" s="357">
        <v>1541602.5852797751</v>
      </c>
      <c r="H60" s="357">
        <v>1448085.0368871226</v>
      </c>
      <c r="I60" s="357">
        <v>1429496.2186981102</v>
      </c>
      <c r="J60" s="357">
        <v>1450430.3201677219</v>
      </c>
      <c r="K60" s="357">
        <v>1578720.0542700277</v>
      </c>
      <c r="L60" s="357">
        <v>1620860.0478229793</v>
      </c>
      <c r="M60" s="357">
        <v>1501203.2964971904</v>
      </c>
      <c r="N60" s="355">
        <f t="shared" si="15"/>
        <v>17994827.479237646</v>
      </c>
      <c r="P60" s="355"/>
    </row>
    <row r="61" spans="1:16" s="355" customFormat="1" x14ac:dyDescent="0.2">
      <c r="A61" s="356" t="s">
        <v>16</v>
      </c>
      <c r="B61" s="358">
        <f>SUM(B58:B60)</f>
        <v>3352335</v>
      </c>
      <c r="C61" s="358">
        <f t="shared" ref="C61:N61" si="16">SUM(C58:C60)</f>
        <v>4360838</v>
      </c>
      <c r="D61" s="358">
        <f t="shared" si="16"/>
        <v>3126716</v>
      </c>
      <c r="E61" s="358">
        <f t="shared" si="16"/>
        <v>3708888</v>
      </c>
      <c r="F61" s="358">
        <f t="shared" si="16"/>
        <v>3343679</v>
      </c>
      <c r="G61" s="358">
        <f t="shared" si="16"/>
        <v>3715175</v>
      </c>
      <c r="H61" s="358">
        <f t="shared" si="16"/>
        <v>3489803</v>
      </c>
      <c r="I61" s="358">
        <f t="shared" si="16"/>
        <v>3445005</v>
      </c>
      <c r="J61" s="358">
        <f t="shared" si="16"/>
        <v>3495455</v>
      </c>
      <c r="K61" s="358">
        <f t="shared" si="16"/>
        <v>3804626</v>
      </c>
      <c r="L61" s="358">
        <f t="shared" si="16"/>
        <v>3906181</v>
      </c>
      <c r="M61" s="358">
        <f t="shared" si="16"/>
        <v>3617815</v>
      </c>
      <c r="N61" s="358">
        <f t="shared" si="16"/>
        <v>43366516</v>
      </c>
    </row>
    <row r="62" spans="1:16" x14ac:dyDescent="0.2">
      <c r="A62" s="356" t="s">
        <v>74</v>
      </c>
      <c r="B62" s="359">
        <v>0</v>
      </c>
      <c r="C62" s="359">
        <v>0</v>
      </c>
      <c r="D62" s="359">
        <v>0</v>
      </c>
      <c r="E62" s="359">
        <v>0</v>
      </c>
      <c r="F62" s="359">
        <v>0</v>
      </c>
      <c r="G62" s="359">
        <v>0</v>
      </c>
      <c r="H62" s="359">
        <v>0</v>
      </c>
      <c r="I62" s="359">
        <v>0</v>
      </c>
      <c r="J62" s="359">
        <v>0</v>
      </c>
      <c r="K62" s="359">
        <v>0</v>
      </c>
      <c r="L62" s="359">
        <v>0</v>
      </c>
      <c r="M62" s="359">
        <v>0</v>
      </c>
      <c r="N62" s="359">
        <v>0</v>
      </c>
      <c r="P62" s="355"/>
    </row>
    <row r="63" spans="1:16" x14ac:dyDescent="0.2">
      <c r="A63" s="356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P63" s="355"/>
    </row>
    <row r="64" spans="1:16" x14ac:dyDescent="0.2">
      <c r="A64" s="353" t="s">
        <v>383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5"/>
      <c r="P64" s="355"/>
    </row>
    <row r="65" spans="1:16" x14ac:dyDescent="0.2">
      <c r="A65" s="356" t="s">
        <v>340</v>
      </c>
      <c r="B65" s="357">
        <v>132062.38367492249</v>
      </c>
      <c r="C65" s="357">
        <v>130672.86941484037</v>
      </c>
      <c r="D65" s="357">
        <v>121458.76386262813</v>
      </c>
      <c r="E65" s="357">
        <v>84016.869079536307</v>
      </c>
      <c r="F65" s="357">
        <v>71851.98906926105</v>
      </c>
      <c r="G65" s="357">
        <v>44303.135856997338</v>
      </c>
      <c r="H65" s="357">
        <v>32167.154524238602</v>
      </c>
      <c r="I65" s="357">
        <v>26120.197705418719</v>
      </c>
      <c r="J65" s="357">
        <v>28979.703555375771</v>
      </c>
      <c r="K65" s="357">
        <v>64934.779670545067</v>
      </c>
      <c r="L65" s="357">
        <v>99414.560008193992</v>
      </c>
      <c r="M65" s="357">
        <v>146970.80901904422</v>
      </c>
      <c r="N65" s="355">
        <f t="shared" ref="N65:N66" si="17">SUM(B65:M65)</f>
        <v>982953.21544100181</v>
      </c>
      <c r="P65" s="355"/>
    </row>
    <row r="66" spans="1:16" x14ac:dyDescent="0.2">
      <c r="A66" s="356" t="s">
        <v>341</v>
      </c>
      <c r="B66" s="357">
        <v>589972.6163250776</v>
      </c>
      <c r="C66" s="357">
        <v>583765.13058515964</v>
      </c>
      <c r="D66" s="357">
        <v>542602.23613737186</v>
      </c>
      <c r="E66" s="357">
        <v>375335.13092046371</v>
      </c>
      <c r="F66" s="357">
        <v>320990.01093073899</v>
      </c>
      <c r="G66" s="357">
        <v>197918.86414300266</v>
      </c>
      <c r="H66" s="357">
        <v>143702.84547576142</v>
      </c>
      <c r="I66" s="357">
        <v>116688.80229458128</v>
      </c>
      <c r="J66" s="357">
        <v>129463.29644462424</v>
      </c>
      <c r="K66" s="357">
        <v>290088.22032945493</v>
      </c>
      <c r="L66" s="357">
        <v>444122.43999180605</v>
      </c>
      <c r="M66" s="357">
        <v>656574.19098095584</v>
      </c>
      <c r="N66" s="355">
        <f t="shared" si="17"/>
        <v>4391223.7845589984</v>
      </c>
      <c r="P66" s="355"/>
    </row>
    <row r="67" spans="1:16" x14ac:dyDescent="0.2">
      <c r="A67" s="356" t="s">
        <v>16</v>
      </c>
      <c r="B67" s="358">
        <f>SUM(B65:B66)</f>
        <v>722035.00000000012</v>
      </c>
      <c r="C67" s="358">
        <f t="shared" ref="C67:N67" si="18">SUM(C65:C66)</f>
        <v>714438</v>
      </c>
      <c r="D67" s="358">
        <f t="shared" si="18"/>
        <v>664061</v>
      </c>
      <c r="E67" s="358">
        <f t="shared" si="18"/>
        <v>459352</v>
      </c>
      <c r="F67" s="358">
        <f t="shared" si="18"/>
        <v>392842.00000000006</v>
      </c>
      <c r="G67" s="358">
        <f t="shared" si="18"/>
        <v>242222</v>
      </c>
      <c r="H67" s="358">
        <f t="shared" si="18"/>
        <v>175870.00000000003</v>
      </c>
      <c r="I67" s="358">
        <f t="shared" si="18"/>
        <v>142809</v>
      </c>
      <c r="J67" s="358">
        <f t="shared" si="18"/>
        <v>158443</v>
      </c>
      <c r="K67" s="358">
        <f t="shared" si="18"/>
        <v>355023</v>
      </c>
      <c r="L67" s="358">
        <f t="shared" si="18"/>
        <v>543537</v>
      </c>
      <c r="M67" s="358">
        <f t="shared" si="18"/>
        <v>803545</v>
      </c>
      <c r="N67" s="358">
        <f t="shared" si="18"/>
        <v>5374177</v>
      </c>
      <c r="P67" s="355"/>
    </row>
    <row r="68" spans="1:16" s="355" customFormat="1" x14ac:dyDescent="0.2">
      <c r="A68" s="356" t="s">
        <v>74</v>
      </c>
      <c r="B68" s="359">
        <v>0</v>
      </c>
      <c r="C68" s="359">
        <v>0</v>
      </c>
      <c r="D68" s="359">
        <v>0</v>
      </c>
      <c r="E68" s="359">
        <v>0</v>
      </c>
      <c r="F68" s="359">
        <v>0</v>
      </c>
      <c r="G68" s="359">
        <v>0</v>
      </c>
      <c r="H68" s="359">
        <v>0</v>
      </c>
      <c r="I68" s="359">
        <v>0</v>
      </c>
      <c r="J68" s="359">
        <v>0</v>
      </c>
      <c r="K68" s="359">
        <v>0</v>
      </c>
      <c r="L68" s="359">
        <v>0</v>
      </c>
      <c r="M68" s="359">
        <v>0</v>
      </c>
      <c r="N68" s="359">
        <v>0</v>
      </c>
    </row>
    <row r="69" spans="1:16" x14ac:dyDescent="0.2">
      <c r="A69" s="356"/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5"/>
      <c r="P69" s="355"/>
    </row>
    <row r="70" spans="1:16" x14ac:dyDescent="0.2">
      <c r="A70" s="353" t="s">
        <v>384</v>
      </c>
      <c r="B70" s="354"/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5"/>
      <c r="P70" s="355"/>
    </row>
    <row r="71" spans="1:16" x14ac:dyDescent="0.2">
      <c r="A71" s="356" t="s">
        <v>340</v>
      </c>
      <c r="B71" s="357">
        <v>2853.6242146474438</v>
      </c>
      <c r="C71" s="357">
        <v>3653.6028243990313</v>
      </c>
      <c r="D71" s="357">
        <v>3771.5572149361269</v>
      </c>
      <c r="E71" s="357">
        <v>2337.2869019850596</v>
      </c>
      <c r="F71" s="357">
        <v>2193.6303874398805</v>
      </c>
      <c r="G71" s="357">
        <v>1525.1456799796472</v>
      </c>
      <c r="H71" s="357">
        <v>1037.4937735762842</v>
      </c>
      <c r="I71" s="357">
        <v>950.06065529878708</v>
      </c>
      <c r="J71" s="357">
        <v>1176.5606231200197</v>
      </c>
      <c r="K71" s="357">
        <v>2169.3051629322304</v>
      </c>
      <c r="L71" s="357">
        <v>2530.9707650459718</v>
      </c>
      <c r="M71" s="357">
        <v>2244.3461857058305</v>
      </c>
      <c r="N71" s="355">
        <f t="shared" ref="N71:N72" si="19">SUM(B71:M71)</f>
        <v>26443.584389066309</v>
      </c>
      <c r="P71" s="355"/>
    </row>
    <row r="72" spans="1:16" x14ac:dyDescent="0.2">
      <c r="A72" s="356" t="s">
        <v>341</v>
      </c>
      <c r="B72" s="357">
        <v>9581.3757853525567</v>
      </c>
      <c r="C72" s="357">
        <v>12267.397175600971</v>
      </c>
      <c r="D72" s="357">
        <v>12663.442785063873</v>
      </c>
      <c r="E72" s="357">
        <v>7847.7130980149414</v>
      </c>
      <c r="F72" s="357">
        <v>7365.36961256012</v>
      </c>
      <c r="G72" s="357">
        <v>5120.854320020353</v>
      </c>
      <c r="H72" s="357">
        <v>3483.5062264237163</v>
      </c>
      <c r="I72" s="357">
        <v>3189.939344701213</v>
      </c>
      <c r="J72" s="357">
        <v>3950.4393768799805</v>
      </c>
      <c r="K72" s="357">
        <v>7283.6948370677701</v>
      </c>
      <c r="L72" s="357">
        <v>8498.0292349540287</v>
      </c>
      <c r="M72" s="357">
        <v>7535.6538142941699</v>
      </c>
      <c r="N72" s="355">
        <f t="shared" si="19"/>
        <v>88787.415610933676</v>
      </c>
      <c r="P72" s="355"/>
    </row>
    <row r="73" spans="1:16" x14ac:dyDescent="0.2">
      <c r="A73" s="356" t="s">
        <v>16</v>
      </c>
      <c r="B73" s="358">
        <f>SUM(B71:B72)</f>
        <v>12435</v>
      </c>
      <c r="C73" s="358">
        <f t="shared" ref="C73:N73" si="20">SUM(C71:C72)</f>
        <v>15921.000000000002</v>
      </c>
      <c r="D73" s="358">
        <f t="shared" si="20"/>
        <v>16435</v>
      </c>
      <c r="E73" s="358">
        <f t="shared" si="20"/>
        <v>10185</v>
      </c>
      <c r="F73" s="358">
        <f t="shared" si="20"/>
        <v>9559</v>
      </c>
      <c r="G73" s="358">
        <f t="shared" si="20"/>
        <v>6646</v>
      </c>
      <c r="H73" s="358">
        <f t="shared" si="20"/>
        <v>4521</v>
      </c>
      <c r="I73" s="358">
        <f t="shared" si="20"/>
        <v>4140</v>
      </c>
      <c r="J73" s="358">
        <f t="shared" si="20"/>
        <v>5127</v>
      </c>
      <c r="K73" s="358">
        <f t="shared" si="20"/>
        <v>9453</v>
      </c>
      <c r="L73" s="358">
        <f t="shared" si="20"/>
        <v>11029</v>
      </c>
      <c r="M73" s="358">
        <f t="shared" si="20"/>
        <v>9780</v>
      </c>
      <c r="N73" s="358">
        <f t="shared" si="20"/>
        <v>115230.99999999999</v>
      </c>
      <c r="P73" s="355"/>
    </row>
    <row r="74" spans="1:16" x14ac:dyDescent="0.2">
      <c r="A74" s="356" t="s">
        <v>74</v>
      </c>
      <c r="B74" s="359">
        <v>0</v>
      </c>
      <c r="C74" s="359">
        <v>0</v>
      </c>
      <c r="D74" s="359">
        <v>0</v>
      </c>
      <c r="E74" s="359">
        <v>0</v>
      </c>
      <c r="F74" s="359">
        <v>0</v>
      </c>
      <c r="G74" s="359">
        <v>0</v>
      </c>
      <c r="H74" s="359">
        <v>0</v>
      </c>
      <c r="I74" s="359">
        <v>0</v>
      </c>
      <c r="J74" s="359">
        <v>0</v>
      </c>
      <c r="K74" s="359">
        <v>0</v>
      </c>
      <c r="L74" s="359">
        <v>0</v>
      </c>
      <c r="M74" s="359">
        <v>0</v>
      </c>
      <c r="N74" s="359">
        <v>0</v>
      </c>
      <c r="P74" s="355"/>
    </row>
    <row r="75" spans="1:16" s="355" customFormat="1" x14ac:dyDescent="0.2"/>
    <row r="76" spans="1:16" s="355" customFormat="1" x14ac:dyDescent="0.2">
      <c r="A76" s="353" t="s">
        <v>385</v>
      </c>
      <c r="B76" s="354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</row>
    <row r="77" spans="1:16" s="355" customFormat="1" x14ac:dyDescent="0.2">
      <c r="A77" s="356" t="s">
        <v>340</v>
      </c>
      <c r="B77" s="357">
        <v>0</v>
      </c>
      <c r="C77" s="357">
        <v>0</v>
      </c>
      <c r="D77" s="357">
        <v>0</v>
      </c>
      <c r="E77" s="357">
        <v>0</v>
      </c>
      <c r="F77" s="357">
        <v>0</v>
      </c>
      <c r="G77" s="357">
        <v>0</v>
      </c>
      <c r="H77" s="357">
        <v>0</v>
      </c>
      <c r="I77" s="357">
        <v>0</v>
      </c>
      <c r="J77" s="357">
        <v>0</v>
      </c>
      <c r="K77" s="357">
        <v>0</v>
      </c>
      <c r="L77" s="357">
        <v>0</v>
      </c>
      <c r="M77" s="357">
        <v>0</v>
      </c>
      <c r="N77" s="355">
        <f t="shared" ref="N77:N78" si="21">SUM(B77:M77)</f>
        <v>0</v>
      </c>
    </row>
    <row r="78" spans="1:16" s="355" customFormat="1" x14ac:dyDescent="0.2">
      <c r="A78" s="356" t="s">
        <v>341</v>
      </c>
      <c r="B78" s="357">
        <v>0</v>
      </c>
      <c r="C78" s="357">
        <v>0</v>
      </c>
      <c r="D78" s="357">
        <v>0</v>
      </c>
      <c r="E78" s="357">
        <v>0</v>
      </c>
      <c r="F78" s="357">
        <v>0</v>
      </c>
      <c r="G78" s="357">
        <v>0</v>
      </c>
      <c r="H78" s="357">
        <v>0</v>
      </c>
      <c r="I78" s="357">
        <v>0</v>
      </c>
      <c r="J78" s="357">
        <v>0</v>
      </c>
      <c r="K78" s="357">
        <v>0</v>
      </c>
      <c r="L78" s="357">
        <v>0</v>
      </c>
      <c r="M78" s="357">
        <v>0</v>
      </c>
      <c r="N78" s="355">
        <f t="shared" si="21"/>
        <v>0</v>
      </c>
    </row>
    <row r="79" spans="1:16" s="355" customFormat="1" x14ac:dyDescent="0.2">
      <c r="A79" s="356" t="s">
        <v>16</v>
      </c>
      <c r="B79" s="358">
        <f>SUM(B77:B78)</f>
        <v>0</v>
      </c>
      <c r="C79" s="358">
        <f t="shared" ref="C79:N79" si="22">SUM(C77:C78)</f>
        <v>0</v>
      </c>
      <c r="D79" s="358">
        <f t="shared" si="22"/>
        <v>0</v>
      </c>
      <c r="E79" s="358">
        <f t="shared" si="22"/>
        <v>0</v>
      </c>
      <c r="F79" s="358">
        <f t="shared" si="22"/>
        <v>0</v>
      </c>
      <c r="G79" s="358">
        <f t="shared" si="22"/>
        <v>0</v>
      </c>
      <c r="H79" s="358">
        <f t="shared" si="22"/>
        <v>0</v>
      </c>
      <c r="I79" s="358">
        <f t="shared" si="22"/>
        <v>0</v>
      </c>
      <c r="J79" s="358">
        <f t="shared" si="22"/>
        <v>0</v>
      </c>
      <c r="K79" s="358">
        <f t="shared" si="22"/>
        <v>0</v>
      </c>
      <c r="L79" s="358">
        <f t="shared" si="22"/>
        <v>0</v>
      </c>
      <c r="M79" s="358">
        <f t="shared" si="22"/>
        <v>0</v>
      </c>
      <c r="N79" s="358">
        <f t="shared" si="22"/>
        <v>0</v>
      </c>
    </row>
    <row r="80" spans="1:16" s="355" customFormat="1" x14ac:dyDescent="0.2">
      <c r="A80" s="356" t="s">
        <v>74</v>
      </c>
      <c r="B80" s="359">
        <v>0</v>
      </c>
      <c r="C80" s="359">
        <v>0</v>
      </c>
      <c r="D80" s="359">
        <v>0</v>
      </c>
      <c r="E80" s="359">
        <v>0</v>
      </c>
      <c r="F80" s="359">
        <v>0</v>
      </c>
      <c r="G80" s="359">
        <v>0</v>
      </c>
      <c r="H80" s="359">
        <v>0</v>
      </c>
      <c r="I80" s="359">
        <v>0</v>
      </c>
      <c r="J80" s="359">
        <v>0</v>
      </c>
      <c r="K80" s="359">
        <v>0</v>
      </c>
      <c r="L80" s="359">
        <v>0</v>
      </c>
      <c r="M80" s="359">
        <v>0</v>
      </c>
      <c r="N80" s="359">
        <v>0</v>
      </c>
    </row>
    <row r="81" spans="1:16" s="355" customFormat="1" x14ac:dyDescent="0.2"/>
    <row r="82" spans="1:16" x14ac:dyDescent="0.2">
      <c r="A82" s="353" t="s">
        <v>386</v>
      </c>
      <c r="B82" s="354"/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5"/>
      <c r="P82" s="355"/>
    </row>
    <row r="83" spans="1:16" x14ac:dyDescent="0.2">
      <c r="A83" s="356" t="s">
        <v>340</v>
      </c>
      <c r="B83" s="357">
        <v>4664.4763028871275</v>
      </c>
      <c r="C83" s="357">
        <v>6378.3900174758355</v>
      </c>
      <c r="D83" s="357">
        <v>3675.077956955327</v>
      </c>
      <c r="E83" s="357">
        <v>4721.2369408746054</v>
      </c>
      <c r="F83" s="357">
        <v>4287.1616953927114</v>
      </c>
      <c r="G83" s="357">
        <v>4823.5645831801266</v>
      </c>
      <c r="H83" s="357">
        <v>4798.0074372800063</v>
      </c>
      <c r="I83" s="357">
        <v>4499.6426177018539</v>
      </c>
      <c r="J83" s="357">
        <v>4582.6538125247262</v>
      </c>
      <c r="K83" s="357">
        <v>4447.2405627361031</v>
      </c>
      <c r="L83" s="357">
        <v>5174.9258099542658</v>
      </c>
      <c r="M83" s="357">
        <v>5273.0929866481392</v>
      </c>
      <c r="N83" s="355">
        <f t="shared" ref="N83:N84" si="23">SUM(B83:M83)</f>
        <v>57325.470723610815</v>
      </c>
      <c r="P83" s="355"/>
    </row>
    <row r="84" spans="1:16" x14ac:dyDescent="0.2">
      <c r="A84" s="356" t="s">
        <v>341</v>
      </c>
      <c r="B84" s="357">
        <v>42423.523697112869</v>
      </c>
      <c r="C84" s="357">
        <v>58011.609982524162</v>
      </c>
      <c r="D84" s="357">
        <v>33424.922043044673</v>
      </c>
      <c r="E84" s="357">
        <v>42939.763059125391</v>
      </c>
      <c r="F84" s="357">
        <v>38991.838304607285</v>
      </c>
      <c r="G84" s="357">
        <v>43870.43541681987</v>
      </c>
      <c r="H84" s="357">
        <v>43637.992562719992</v>
      </c>
      <c r="I84" s="357">
        <v>40924.357382298142</v>
      </c>
      <c r="J84" s="357">
        <v>41679.346187475268</v>
      </c>
      <c r="K84" s="357">
        <v>40447.759437263892</v>
      </c>
      <c r="L84" s="357">
        <v>47066.074190045729</v>
      </c>
      <c r="M84" s="357">
        <v>47958.907013351854</v>
      </c>
      <c r="N84" s="355">
        <f t="shared" si="23"/>
        <v>521376.5292763891</v>
      </c>
      <c r="P84" s="355"/>
    </row>
    <row r="85" spans="1:16" x14ac:dyDescent="0.2">
      <c r="A85" s="356" t="s">
        <v>16</v>
      </c>
      <c r="B85" s="358">
        <f>SUM(B83:B84)</f>
        <v>47088</v>
      </c>
      <c r="C85" s="358">
        <f t="shared" ref="C85:N85" si="24">SUM(C83:C84)</f>
        <v>64390</v>
      </c>
      <c r="D85" s="358">
        <f t="shared" si="24"/>
        <v>37100</v>
      </c>
      <c r="E85" s="358">
        <f t="shared" si="24"/>
        <v>47661</v>
      </c>
      <c r="F85" s="358">
        <f t="shared" si="24"/>
        <v>43279</v>
      </c>
      <c r="G85" s="358">
        <f t="shared" si="24"/>
        <v>48694</v>
      </c>
      <c r="H85" s="358">
        <f t="shared" si="24"/>
        <v>48436</v>
      </c>
      <c r="I85" s="358">
        <f t="shared" si="24"/>
        <v>45423.999999999993</v>
      </c>
      <c r="J85" s="358">
        <f t="shared" si="24"/>
        <v>46261.999999999993</v>
      </c>
      <c r="K85" s="358">
        <f t="shared" si="24"/>
        <v>44894.999999999993</v>
      </c>
      <c r="L85" s="358">
        <f t="shared" si="24"/>
        <v>52240.999999999993</v>
      </c>
      <c r="M85" s="358">
        <f t="shared" si="24"/>
        <v>53231.999999999993</v>
      </c>
      <c r="N85" s="358">
        <f t="shared" si="24"/>
        <v>578701.99999999988</v>
      </c>
      <c r="P85" s="355"/>
    </row>
    <row r="86" spans="1:16" x14ac:dyDescent="0.2">
      <c r="A86" s="356" t="s">
        <v>74</v>
      </c>
      <c r="B86" s="359">
        <v>0</v>
      </c>
      <c r="C86" s="359">
        <v>0</v>
      </c>
      <c r="D86" s="359">
        <v>0</v>
      </c>
      <c r="E86" s="359">
        <v>0</v>
      </c>
      <c r="F86" s="359">
        <v>0</v>
      </c>
      <c r="G86" s="359">
        <v>0</v>
      </c>
      <c r="H86" s="359">
        <v>0</v>
      </c>
      <c r="I86" s="359">
        <v>0</v>
      </c>
      <c r="J86" s="359">
        <v>0</v>
      </c>
      <c r="K86" s="359">
        <v>0</v>
      </c>
      <c r="L86" s="359">
        <v>0</v>
      </c>
      <c r="M86" s="359">
        <v>0</v>
      </c>
      <c r="N86" s="359">
        <v>0</v>
      </c>
      <c r="O86" s="354"/>
      <c r="P86" s="355"/>
    </row>
    <row r="87" spans="1:16" x14ac:dyDescent="0.2">
      <c r="P87" s="355"/>
    </row>
    <row r="88" spans="1:16" x14ac:dyDescent="0.2">
      <c r="A88" s="348" t="s">
        <v>387</v>
      </c>
      <c r="B88" s="354"/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5"/>
      <c r="P88" s="355"/>
    </row>
    <row r="89" spans="1:16" x14ac:dyDescent="0.2">
      <c r="A89" s="356" t="s">
        <v>235</v>
      </c>
      <c r="B89" s="360">
        <v>75000</v>
      </c>
      <c r="C89" s="360">
        <v>120833</v>
      </c>
      <c r="D89" s="360">
        <v>125000</v>
      </c>
      <c r="E89" s="360">
        <v>150000</v>
      </c>
      <c r="F89" s="360">
        <v>100000</v>
      </c>
      <c r="G89" s="360">
        <v>137193</v>
      </c>
      <c r="H89" s="360">
        <v>-1017125.9029999999</v>
      </c>
      <c r="I89" s="360">
        <v>1292125.9029999999</v>
      </c>
      <c r="J89" s="360">
        <v>97747.714000000007</v>
      </c>
      <c r="K89" s="360">
        <v>152252.28599999999</v>
      </c>
      <c r="L89" s="360">
        <v>125000</v>
      </c>
      <c r="M89" s="360">
        <v>154167</v>
      </c>
      <c r="N89" s="355">
        <f t="shared" ref="N89:N94" si="25">SUM(B89:M89)</f>
        <v>1512193</v>
      </c>
      <c r="P89" s="355"/>
    </row>
    <row r="90" spans="1:16" x14ac:dyDescent="0.2">
      <c r="A90" s="356" t="s">
        <v>236</v>
      </c>
      <c r="B90" s="360">
        <v>75000</v>
      </c>
      <c r="C90" s="360">
        <v>120834</v>
      </c>
      <c r="D90" s="360">
        <v>120886.97</v>
      </c>
      <c r="E90" s="360">
        <v>132928.747</v>
      </c>
      <c r="F90" s="360">
        <v>81115.681000000011</v>
      </c>
      <c r="G90" s="360">
        <v>125000</v>
      </c>
      <c r="H90" s="360">
        <v>138263.88800000001</v>
      </c>
      <c r="I90" s="360">
        <v>114769.96</v>
      </c>
      <c r="J90" s="360">
        <v>75002</v>
      </c>
      <c r="K90" s="360">
        <v>135048.86900000001</v>
      </c>
      <c r="L90" s="360">
        <v>125000</v>
      </c>
      <c r="M90" s="360">
        <v>154166</v>
      </c>
      <c r="N90" s="355">
        <f t="shared" si="25"/>
        <v>1398016.115</v>
      </c>
      <c r="P90" s="355"/>
    </row>
    <row r="91" spans="1:16" s="355" customFormat="1" x14ac:dyDescent="0.2">
      <c r="A91" s="356" t="s">
        <v>237</v>
      </c>
      <c r="B91" s="360">
        <v>154138.10149999999</v>
      </c>
      <c r="C91" s="360">
        <v>197476.399</v>
      </c>
      <c r="D91" s="360">
        <v>200000</v>
      </c>
      <c r="E91" s="360">
        <v>250000</v>
      </c>
      <c r="F91" s="360">
        <v>150000</v>
      </c>
      <c r="G91" s="360">
        <v>228529.04199999999</v>
      </c>
      <c r="H91" s="360">
        <v>214348.38500000001</v>
      </c>
      <c r="I91" s="360">
        <v>163083.65599999999</v>
      </c>
      <c r="J91" s="360">
        <v>107780.40999999999</v>
      </c>
      <c r="K91" s="360">
        <v>198857.35200000001</v>
      </c>
      <c r="L91" s="360">
        <v>205325.61499999999</v>
      </c>
      <c r="M91" s="360">
        <v>247351.13550000003</v>
      </c>
      <c r="N91" s="355">
        <f t="shared" si="25"/>
        <v>2316890.0959999999</v>
      </c>
    </row>
    <row r="92" spans="1:16" x14ac:dyDescent="0.2">
      <c r="A92" s="356" t="s">
        <v>209</v>
      </c>
      <c r="B92" s="360">
        <v>685530.91299999994</v>
      </c>
      <c r="C92" s="360">
        <v>336606.59600000002</v>
      </c>
      <c r="D92" s="360">
        <v>163767.62950000004</v>
      </c>
      <c r="E92" s="360">
        <v>656881.98849999998</v>
      </c>
      <c r="F92" s="360">
        <v>-9849.9674999999406</v>
      </c>
      <c r="G92" s="360">
        <v>168792.92300000001</v>
      </c>
      <c r="H92" s="360">
        <v>103073.18949999986</v>
      </c>
      <c r="I92" s="360">
        <v>3147.0750000000844</v>
      </c>
      <c r="J92" s="360">
        <v>11140.85749999994</v>
      </c>
      <c r="K92" s="360">
        <v>185283.242</v>
      </c>
      <c r="L92" s="360">
        <v>743315.86349999998</v>
      </c>
      <c r="M92" s="360">
        <v>-2433.4319999999716</v>
      </c>
      <c r="N92" s="355">
        <f t="shared" si="25"/>
        <v>3045256.878</v>
      </c>
      <c r="P92" s="355"/>
    </row>
    <row r="93" spans="1:16" x14ac:dyDescent="0.2">
      <c r="A93" s="356" t="s">
        <v>210</v>
      </c>
      <c r="B93" s="360">
        <v>83968.783500000107</v>
      </c>
      <c r="C93" s="360">
        <v>1449621.1384999999</v>
      </c>
      <c r="D93" s="360">
        <v>-762310.78599999985</v>
      </c>
      <c r="E93" s="360">
        <v>353323.82349999994</v>
      </c>
      <c r="F93" s="360">
        <v>246676.17650000006</v>
      </c>
      <c r="G93" s="360">
        <v>300000</v>
      </c>
      <c r="H93" s="360">
        <v>300000</v>
      </c>
      <c r="I93" s="360">
        <v>300000</v>
      </c>
      <c r="J93" s="360">
        <v>300000</v>
      </c>
      <c r="K93" s="360">
        <v>300000</v>
      </c>
      <c r="L93" s="360">
        <v>1132564.3785000001</v>
      </c>
      <c r="M93" s="360">
        <v>-211801.31150000013</v>
      </c>
      <c r="N93" s="355">
        <f t="shared" si="25"/>
        <v>3792042.2029999997</v>
      </c>
      <c r="P93" s="355"/>
    </row>
    <row r="94" spans="1:16" x14ac:dyDescent="0.2">
      <c r="A94" s="356" t="s">
        <v>211</v>
      </c>
      <c r="B94" s="361">
        <v>1925013.0963750002</v>
      </c>
      <c r="C94" s="361">
        <v>2395602.7268750002</v>
      </c>
      <c r="D94" s="361">
        <v>-77527.07513159755</v>
      </c>
      <c r="E94" s="361">
        <v>1179194.2217902783</v>
      </c>
      <c r="F94" s="361">
        <v>678757.63240902824</v>
      </c>
      <c r="G94" s="361">
        <v>752450.74679166637</v>
      </c>
      <c r="H94" s="361">
        <v>466226.03499999997</v>
      </c>
      <c r="I94" s="361">
        <v>442278.01499999966</v>
      </c>
      <c r="J94" s="361">
        <v>363689.65199999977</v>
      </c>
      <c r="K94" s="361">
        <v>361201.52079236228</v>
      </c>
      <c r="L94" s="361">
        <v>1748092.7404499995</v>
      </c>
      <c r="M94" s="361">
        <v>-479921.84199652972</v>
      </c>
      <c r="N94" s="355">
        <f t="shared" si="25"/>
        <v>9755057.4703552071</v>
      </c>
      <c r="P94" s="355"/>
    </row>
    <row r="95" spans="1:16" x14ac:dyDescent="0.2">
      <c r="A95" s="356" t="s">
        <v>16</v>
      </c>
      <c r="B95" s="358">
        <f>SUM(B89:B94)</f>
        <v>2998650.8943750001</v>
      </c>
      <c r="C95" s="358">
        <f t="shared" ref="C95:N95" si="26">SUM(C89:C94)</f>
        <v>4620973.8603750002</v>
      </c>
      <c r="D95" s="358">
        <f t="shared" si="26"/>
        <v>-230183.26163159739</v>
      </c>
      <c r="E95" s="358">
        <f t="shared" si="26"/>
        <v>2722328.7807902782</v>
      </c>
      <c r="F95" s="358">
        <f t="shared" si="26"/>
        <v>1246699.5224090284</v>
      </c>
      <c r="G95" s="358">
        <f t="shared" si="26"/>
        <v>1711965.7117916665</v>
      </c>
      <c r="H95" s="358">
        <f t="shared" si="26"/>
        <v>204785.59449999995</v>
      </c>
      <c r="I95" s="358">
        <f t="shared" si="26"/>
        <v>2315404.6089999997</v>
      </c>
      <c r="J95" s="358">
        <f t="shared" si="26"/>
        <v>955360.63349999976</v>
      </c>
      <c r="K95" s="358">
        <f t="shared" si="26"/>
        <v>1332643.2697923623</v>
      </c>
      <c r="L95" s="358">
        <f t="shared" si="26"/>
        <v>4079298.5974499993</v>
      </c>
      <c r="M95" s="358">
        <f t="shared" si="26"/>
        <v>-138472.44999652979</v>
      </c>
      <c r="N95" s="358">
        <f t="shared" si="26"/>
        <v>21819455.762355208</v>
      </c>
      <c r="P95" s="355"/>
    </row>
    <row r="96" spans="1:16" x14ac:dyDescent="0.2">
      <c r="A96" s="356" t="s">
        <v>74</v>
      </c>
      <c r="B96" s="359">
        <v>0</v>
      </c>
      <c r="C96" s="359">
        <v>0</v>
      </c>
      <c r="D96" s="359">
        <v>0</v>
      </c>
      <c r="E96" s="359">
        <v>0</v>
      </c>
      <c r="F96" s="359">
        <v>0</v>
      </c>
      <c r="G96" s="359">
        <v>0</v>
      </c>
      <c r="H96" s="359">
        <v>0</v>
      </c>
      <c r="I96" s="359">
        <v>0</v>
      </c>
      <c r="J96" s="359">
        <v>0</v>
      </c>
      <c r="K96" s="359">
        <v>0</v>
      </c>
      <c r="L96" s="359">
        <v>0</v>
      </c>
      <c r="M96" s="359">
        <v>0</v>
      </c>
      <c r="N96" s="359">
        <v>0</v>
      </c>
      <c r="O96" s="354"/>
      <c r="P96" s="355"/>
    </row>
    <row r="97" spans="1:16" x14ac:dyDescent="0.2">
      <c r="A97" s="356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5"/>
      <c r="P97" s="355"/>
    </row>
    <row r="98" spans="1:16" x14ac:dyDescent="0.2">
      <c r="A98" s="348" t="s">
        <v>388</v>
      </c>
      <c r="B98" s="354"/>
      <c r="C98" s="354"/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355"/>
      <c r="P98" s="355"/>
    </row>
    <row r="99" spans="1:16" x14ac:dyDescent="0.2">
      <c r="A99" s="356" t="s">
        <v>235</v>
      </c>
      <c r="B99" s="357">
        <v>0</v>
      </c>
      <c r="C99" s="357">
        <v>0</v>
      </c>
      <c r="D99" s="357">
        <v>0</v>
      </c>
      <c r="E99" s="357">
        <v>0</v>
      </c>
      <c r="F99" s="357">
        <v>0</v>
      </c>
      <c r="G99" s="357">
        <v>0</v>
      </c>
      <c r="H99" s="357">
        <v>0</v>
      </c>
      <c r="I99" s="357">
        <v>0</v>
      </c>
      <c r="J99" s="357">
        <v>0</v>
      </c>
      <c r="K99" s="357">
        <v>0</v>
      </c>
      <c r="L99" s="357">
        <v>0</v>
      </c>
      <c r="M99" s="357">
        <v>0</v>
      </c>
      <c r="N99" s="355">
        <f>SUM(B99:M99)</f>
        <v>0</v>
      </c>
      <c r="P99" s="355"/>
    </row>
    <row r="100" spans="1:16" x14ac:dyDescent="0.2">
      <c r="A100" s="356" t="s">
        <v>236</v>
      </c>
      <c r="B100" s="357">
        <v>0</v>
      </c>
      <c r="C100" s="357">
        <v>0</v>
      </c>
      <c r="D100" s="357">
        <v>0</v>
      </c>
      <c r="E100" s="357">
        <v>0</v>
      </c>
      <c r="F100" s="357">
        <v>0</v>
      </c>
      <c r="G100" s="357">
        <v>0</v>
      </c>
      <c r="H100" s="357">
        <v>0</v>
      </c>
      <c r="I100" s="357">
        <v>0</v>
      </c>
      <c r="J100" s="357">
        <v>0</v>
      </c>
      <c r="K100" s="357">
        <v>0</v>
      </c>
      <c r="L100" s="357">
        <v>0</v>
      </c>
      <c r="M100" s="357">
        <v>0</v>
      </c>
      <c r="N100" s="355">
        <f t="shared" ref="N100:N104" si="27">SUM(B100:M100)</f>
        <v>0</v>
      </c>
      <c r="P100" s="355"/>
    </row>
    <row r="101" spans="1:16" x14ac:dyDescent="0.2">
      <c r="A101" s="356" t="s">
        <v>237</v>
      </c>
      <c r="B101" s="357">
        <v>0</v>
      </c>
      <c r="C101" s="357">
        <v>0</v>
      </c>
      <c r="D101" s="357">
        <v>0</v>
      </c>
      <c r="E101" s="357">
        <v>0</v>
      </c>
      <c r="F101" s="357">
        <v>0</v>
      </c>
      <c r="G101" s="357">
        <v>0</v>
      </c>
      <c r="H101" s="357">
        <v>0</v>
      </c>
      <c r="I101" s="357">
        <v>0</v>
      </c>
      <c r="J101" s="357">
        <v>0</v>
      </c>
      <c r="K101" s="357">
        <v>0</v>
      </c>
      <c r="L101" s="357">
        <v>0</v>
      </c>
      <c r="M101" s="357">
        <v>0</v>
      </c>
      <c r="N101" s="355">
        <f t="shared" si="27"/>
        <v>0</v>
      </c>
      <c r="P101" s="355"/>
    </row>
    <row r="102" spans="1:16" x14ac:dyDescent="0.2">
      <c r="A102" s="356" t="s">
        <v>209</v>
      </c>
      <c r="B102" s="357">
        <v>0</v>
      </c>
      <c r="C102" s="357">
        <v>0</v>
      </c>
      <c r="D102" s="357">
        <v>0</v>
      </c>
      <c r="E102" s="357">
        <v>0</v>
      </c>
      <c r="F102" s="357">
        <v>0</v>
      </c>
      <c r="G102" s="357">
        <v>0</v>
      </c>
      <c r="H102" s="357">
        <v>0</v>
      </c>
      <c r="I102" s="357">
        <v>0</v>
      </c>
      <c r="J102" s="357">
        <v>0</v>
      </c>
      <c r="K102" s="357">
        <v>0</v>
      </c>
      <c r="L102" s="357">
        <v>0</v>
      </c>
      <c r="M102" s="357">
        <v>0</v>
      </c>
      <c r="N102" s="355">
        <f t="shared" si="27"/>
        <v>0</v>
      </c>
      <c r="P102" s="355"/>
    </row>
    <row r="103" spans="1:16" x14ac:dyDescent="0.2">
      <c r="A103" s="356" t="s">
        <v>210</v>
      </c>
      <c r="B103" s="357">
        <v>0</v>
      </c>
      <c r="C103" s="357">
        <v>0</v>
      </c>
      <c r="D103" s="357">
        <v>0</v>
      </c>
      <c r="E103" s="357">
        <v>0</v>
      </c>
      <c r="F103" s="357">
        <v>0</v>
      </c>
      <c r="G103" s="357">
        <v>0</v>
      </c>
      <c r="H103" s="357">
        <v>0</v>
      </c>
      <c r="I103" s="357">
        <v>0</v>
      </c>
      <c r="J103" s="357">
        <v>0</v>
      </c>
      <c r="K103" s="357">
        <v>0</v>
      </c>
      <c r="L103" s="357">
        <v>0</v>
      </c>
      <c r="M103" s="357">
        <v>0</v>
      </c>
      <c r="N103" s="355">
        <f t="shared" si="27"/>
        <v>0</v>
      </c>
      <c r="P103" s="355"/>
    </row>
    <row r="104" spans="1:16" x14ac:dyDescent="0.2">
      <c r="A104" s="356" t="s">
        <v>211</v>
      </c>
      <c r="B104" s="357">
        <v>0</v>
      </c>
      <c r="C104" s="357">
        <v>0</v>
      </c>
      <c r="D104" s="357">
        <v>0</v>
      </c>
      <c r="E104" s="357">
        <v>0</v>
      </c>
      <c r="F104" s="357">
        <v>0</v>
      </c>
      <c r="G104" s="357">
        <v>0</v>
      </c>
      <c r="H104" s="357">
        <v>0</v>
      </c>
      <c r="I104" s="357">
        <v>0</v>
      </c>
      <c r="J104" s="357">
        <v>0</v>
      </c>
      <c r="K104" s="357">
        <v>0</v>
      </c>
      <c r="L104" s="357">
        <v>0</v>
      </c>
      <c r="M104" s="357">
        <v>0</v>
      </c>
      <c r="N104" s="355">
        <f t="shared" si="27"/>
        <v>0</v>
      </c>
      <c r="P104" s="355"/>
    </row>
    <row r="105" spans="1:16" x14ac:dyDescent="0.2">
      <c r="A105" s="356" t="s">
        <v>16</v>
      </c>
      <c r="B105" s="358">
        <f>SUM(B99:B104)</f>
        <v>0</v>
      </c>
      <c r="C105" s="358">
        <f t="shared" ref="C105:N105" si="28">SUM(C99:C104)</f>
        <v>0</v>
      </c>
      <c r="D105" s="358">
        <f t="shared" si="28"/>
        <v>0</v>
      </c>
      <c r="E105" s="358">
        <f t="shared" si="28"/>
        <v>0</v>
      </c>
      <c r="F105" s="358">
        <f t="shared" si="28"/>
        <v>0</v>
      </c>
      <c r="G105" s="358">
        <f t="shared" si="28"/>
        <v>0</v>
      </c>
      <c r="H105" s="358">
        <f t="shared" si="28"/>
        <v>0</v>
      </c>
      <c r="I105" s="358">
        <f t="shared" si="28"/>
        <v>0</v>
      </c>
      <c r="J105" s="358">
        <f t="shared" si="28"/>
        <v>0</v>
      </c>
      <c r="K105" s="358">
        <f t="shared" si="28"/>
        <v>0</v>
      </c>
      <c r="L105" s="358">
        <f t="shared" si="28"/>
        <v>0</v>
      </c>
      <c r="M105" s="358">
        <f t="shared" si="28"/>
        <v>0</v>
      </c>
      <c r="N105" s="358">
        <f t="shared" si="28"/>
        <v>0</v>
      </c>
      <c r="P105" s="355"/>
    </row>
    <row r="106" spans="1:16" x14ac:dyDescent="0.2">
      <c r="A106" s="356" t="s">
        <v>74</v>
      </c>
      <c r="B106" s="359">
        <v>0</v>
      </c>
      <c r="C106" s="359">
        <v>0</v>
      </c>
      <c r="D106" s="359">
        <v>0</v>
      </c>
      <c r="E106" s="359">
        <v>0</v>
      </c>
      <c r="F106" s="359">
        <v>0</v>
      </c>
      <c r="G106" s="359">
        <v>0</v>
      </c>
      <c r="H106" s="359">
        <v>0</v>
      </c>
      <c r="I106" s="359">
        <v>0</v>
      </c>
      <c r="J106" s="359">
        <v>0</v>
      </c>
      <c r="K106" s="359">
        <v>0</v>
      </c>
      <c r="L106" s="359">
        <v>0</v>
      </c>
      <c r="M106" s="359">
        <v>0</v>
      </c>
      <c r="N106" s="359">
        <v>0</v>
      </c>
      <c r="P106" s="355"/>
    </row>
    <row r="107" spans="1:16" x14ac:dyDescent="0.2">
      <c r="P107" s="355"/>
    </row>
    <row r="108" spans="1:16" x14ac:dyDescent="0.2">
      <c r="A108" s="353" t="s">
        <v>389</v>
      </c>
      <c r="B108" s="354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5"/>
      <c r="P108" s="355"/>
    </row>
    <row r="109" spans="1:16" x14ac:dyDescent="0.2">
      <c r="A109" s="356" t="s">
        <v>235</v>
      </c>
      <c r="B109" s="360">
        <v>32799.790000000008</v>
      </c>
      <c r="C109" s="360">
        <v>25000</v>
      </c>
      <c r="D109" s="360">
        <v>125000</v>
      </c>
      <c r="E109" s="360">
        <v>71825.149999999994</v>
      </c>
      <c r="F109" s="360">
        <v>74052.44</v>
      </c>
      <c r="G109" s="360">
        <v>71234.03</v>
      </c>
      <c r="H109" s="360">
        <v>74846.930000000008</v>
      </c>
      <c r="I109" s="360">
        <v>75036.009999999995</v>
      </c>
      <c r="J109" s="360">
        <v>74865.759999999995</v>
      </c>
      <c r="K109" s="360">
        <v>78926</v>
      </c>
      <c r="L109" s="360">
        <v>3003.3500000000058</v>
      </c>
      <c r="M109" s="360">
        <v>192200.21</v>
      </c>
      <c r="N109" s="355">
        <f t="shared" ref="N109:N114" si="29">SUM(B109:M109)</f>
        <v>898789.66999999993</v>
      </c>
      <c r="P109" s="355"/>
    </row>
    <row r="110" spans="1:16" x14ac:dyDescent="0.2">
      <c r="A110" s="356" t="s">
        <v>236</v>
      </c>
      <c r="B110" s="360">
        <v>27744.739999999991</v>
      </c>
      <c r="C110" s="360">
        <v>47255.260000000009</v>
      </c>
      <c r="D110" s="360">
        <v>102133.38</v>
      </c>
      <c r="E110" s="360">
        <v>72866.62</v>
      </c>
      <c r="F110" s="360">
        <v>75000</v>
      </c>
      <c r="G110" s="360">
        <v>75000</v>
      </c>
      <c r="H110" s="360">
        <v>75000</v>
      </c>
      <c r="I110" s="360">
        <v>75000</v>
      </c>
      <c r="J110" s="360">
        <v>75000</v>
      </c>
      <c r="K110" s="360">
        <v>75000</v>
      </c>
      <c r="L110" s="360">
        <v>25000</v>
      </c>
      <c r="M110" s="360">
        <v>175000</v>
      </c>
      <c r="N110" s="355">
        <f t="shared" si="29"/>
        <v>900000</v>
      </c>
      <c r="P110" s="355"/>
    </row>
    <row r="111" spans="1:16" x14ac:dyDescent="0.2">
      <c r="A111" s="356" t="s">
        <v>237</v>
      </c>
      <c r="B111" s="360">
        <v>668.61000000000058</v>
      </c>
      <c r="C111" s="360">
        <v>149331.39000000001</v>
      </c>
      <c r="D111" s="360">
        <v>200000</v>
      </c>
      <c r="E111" s="360">
        <v>150000</v>
      </c>
      <c r="F111" s="360">
        <v>150000</v>
      </c>
      <c r="G111" s="360">
        <v>150000</v>
      </c>
      <c r="H111" s="360">
        <v>150000</v>
      </c>
      <c r="I111" s="360">
        <v>150000</v>
      </c>
      <c r="J111" s="360">
        <v>150000</v>
      </c>
      <c r="K111" s="360">
        <v>150000</v>
      </c>
      <c r="L111" s="360">
        <v>50000</v>
      </c>
      <c r="M111" s="360">
        <v>350000</v>
      </c>
      <c r="N111" s="355">
        <f t="shared" si="29"/>
        <v>1800000</v>
      </c>
      <c r="P111" s="355"/>
    </row>
    <row r="112" spans="1:16" x14ac:dyDescent="0.2">
      <c r="A112" s="356" t="s">
        <v>209</v>
      </c>
      <c r="B112" s="360">
        <v>-30954.599999999991</v>
      </c>
      <c r="C112" s="360">
        <v>300000</v>
      </c>
      <c r="D112" s="360">
        <v>347720.09</v>
      </c>
      <c r="E112" s="360">
        <v>266512.84999999998</v>
      </c>
      <c r="F112" s="360">
        <v>268671.90999999992</v>
      </c>
      <c r="G112" s="360">
        <v>234746.91999999998</v>
      </c>
      <c r="H112" s="360">
        <v>233993.21000000008</v>
      </c>
      <c r="I112" s="360">
        <v>222859.59000000003</v>
      </c>
      <c r="J112" s="360">
        <v>224288.62999999989</v>
      </c>
      <c r="K112" s="360">
        <v>275790.02</v>
      </c>
      <c r="L112" s="360">
        <v>100000.00000000006</v>
      </c>
      <c r="M112" s="360">
        <v>644400.64000000001</v>
      </c>
      <c r="N112" s="355">
        <f t="shared" si="29"/>
        <v>3088029.2600000002</v>
      </c>
      <c r="P112" s="355"/>
    </row>
    <row r="113" spans="1:16" x14ac:dyDescent="0.2">
      <c r="A113" s="356" t="s">
        <v>210</v>
      </c>
      <c r="B113" s="360">
        <v>-42635.95</v>
      </c>
      <c r="C113" s="360">
        <v>478617.5</v>
      </c>
      <c r="D113" s="360">
        <v>388489.63000000006</v>
      </c>
      <c r="E113" s="360">
        <v>316630.56999999989</v>
      </c>
      <c r="F113" s="360">
        <v>307937.07000000012</v>
      </c>
      <c r="G113" s="360">
        <v>299999.99999999994</v>
      </c>
      <c r="H113" s="360">
        <v>300000</v>
      </c>
      <c r="I113" s="360">
        <v>300000</v>
      </c>
      <c r="J113" s="360">
        <v>300000</v>
      </c>
      <c r="K113" s="360">
        <v>306597.63</v>
      </c>
      <c r="L113" s="360">
        <v>68517.88</v>
      </c>
      <c r="M113" s="360">
        <v>1023846.24</v>
      </c>
      <c r="N113" s="355">
        <f t="shared" si="29"/>
        <v>4048000.5700000003</v>
      </c>
      <c r="P113" s="355"/>
    </row>
    <row r="114" spans="1:16" x14ac:dyDescent="0.2">
      <c r="A114" s="356" t="s">
        <v>211</v>
      </c>
      <c r="B114" s="361">
        <v>1677744.488270832</v>
      </c>
      <c r="C114" s="361">
        <v>762945.57275000063</v>
      </c>
      <c r="D114" s="361">
        <v>727653.17012583325</v>
      </c>
      <c r="E114" s="361">
        <v>596936.27261875034</v>
      </c>
      <c r="F114" s="361">
        <v>399164.53478416661</v>
      </c>
      <c r="G114" s="361">
        <v>106499.62004500045</v>
      </c>
      <c r="H114" s="361">
        <v>185797.06000000006</v>
      </c>
      <c r="I114" s="361">
        <v>159830.82999999984</v>
      </c>
      <c r="J114" s="361">
        <v>173678.64000000036</v>
      </c>
      <c r="K114" s="361">
        <v>449077.9405979173</v>
      </c>
      <c r="L114" s="361">
        <v>16601.370834999281</v>
      </c>
      <c r="M114" s="361">
        <v>835617.99545208178</v>
      </c>
      <c r="N114" s="355">
        <f t="shared" si="29"/>
        <v>6091547.4954795819</v>
      </c>
      <c r="P114" s="355"/>
    </row>
    <row r="115" spans="1:16" x14ac:dyDescent="0.2">
      <c r="A115" s="356" t="s">
        <v>16</v>
      </c>
      <c r="B115" s="358">
        <f>SUM(B109:B114)</f>
        <v>1665367.0782708321</v>
      </c>
      <c r="C115" s="358">
        <f t="shared" ref="C115:N115" si="30">SUM(C109:C114)</f>
        <v>1763149.7227500007</v>
      </c>
      <c r="D115" s="358">
        <f t="shared" si="30"/>
        <v>1890996.2701258333</v>
      </c>
      <c r="E115" s="358">
        <f t="shared" si="30"/>
        <v>1474771.4626187503</v>
      </c>
      <c r="F115" s="358">
        <f t="shared" si="30"/>
        <v>1274825.9547841665</v>
      </c>
      <c r="G115" s="358">
        <f t="shared" si="30"/>
        <v>937480.57004500041</v>
      </c>
      <c r="H115" s="358">
        <f t="shared" si="30"/>
        <v>1019637.2000000002</v>
      </c>
      <c r="I115" s="358">
        <f t="shared" si="30"/>
        <v>982726.42999999993</v>
      </c>
      <c r="J115" s="358">
        <f t="shared" si="30"/>
        <v>997833.03000000026</v>
      </c>
      <c r="K115" s="358">
        <f t="shared" si="30"/>
        <v>1335391.5905979173</v>
      </c>
      <c r="L115" s="358">
        <f t="shared" si="30"/>
        <v>263122.60083499935</v>
      </c>
      <c r="M115" s="358">
        <f t="shared" si="30"/>
        <v>3221065.0854520816</v>
      </c>
      <c r="N115" s="358">
        <f t="shared" si="30"/>
        <v>16826366.995479584</v>
      </c>
      <c r="P115" s="355"/>
    </row>
    <row r="116" spans="1:16" x14ac:dyDescent="0.2">
      <c r="A116" s="356" t="s">
        <v>74</v>
      </c>
      <c r="B116" s="359">
        <v>0</v>
      </c>
      <c r="C116" s="359">
        <v>0</v>
      </c>
      <c r="D116" s="359">
        <v>0</v>
      </c>
      <c r="E116" s="359">
        <v>0</v>
      </c>
      <c r="F116" s="359">
        <v>0</v>
      </c>
      <c r="G116" s="359">
        <v>0</v>
      </c>
      <c r="H116" s="359">
        <v>0</v>
      </c>
      <c r="I116" s="359">
        <v>0</v>
      </c>
      <c r="J116" s="359">
        <v>0</v>
      </c>
      <c r="K116" s="359">
        <v>0</v>
      </c>
      <c r="L116" s="359">
        <v>0</v>
      </c>
      <c r="M116" s="359">
        <v>0</v>
      </c>
      <c r="N116" s="359">
        <v>0</v>
      </c>
      <c r="P116" s="355"/>
    </row>
    <row r="117" spans="1:16" x14ac:dyDescent="0.2">
      <c r="A117" s="356"/>
      <c r="B117" s="354"/>
      <c r="C117" s="354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5"/>
      <c r="P117" s="355"/>
    </row>
    <row r="118" spans="1:16" x14ac:dyDescent="0.2">
      <c r="A118" s="353" t="s">
        <v>390</v>
      </c>
      <c r="B118" s="354"/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5"/>
      <c r="P118" s="355"/>
    </row>
    <row r="119" spans="1:16" x14ac:dyDescent="0.2">
      <c r="A119" s="356" t="s">
        <v>235</v>
      </c>
      <c r="B119" s="360">
        <v>125000</v>
      </c>
      <c r="C119" s="360">
        <v>175000</v>
      </c>
      <c r="D119" s="360">
        <v>225000</v>
      </c>
      <c r="E119" s="360">
        <v>200000</v>
      </c>
      <c r="F119" s="360">
        <v>200000</v>
      </c>
      <c r="G119" s="360">
        <v>200000</v>
      </c>
      <c r="H119" s="360">
        <v>175000</v>
      </c>
      <c r="I119" s="360">
        <v>225000</v>
      </c>
      <c r="J119" s="360">
        <v>200000</v>
      </c>
      <c r="K119" s="360">
        <v>200000</v>
      </c>
      <c r="L119" s="360">
        <v>175000</v>
      </c>
      <c r="M119" s="360">
        <v>300000</v>
      </c>
      <c r="N119" s="355">
        <f t="shared" ref="N119:N124" si="31">SUM(B119:M119)</f>
        <v>2400000</v>
      </c>
      <c r="P119" s="355"/>
    </row>
    <row r="120" spans="1:16" x14ac:dyDescent="0.2">
      <c r="A120" s="356" t="s">
        <v>236</v>
      </c>
      <c r="B120" s="360">
        <v>125000</v>
      </c>
      <c r="C120" s="360">
        <v>175000</v>
      </c>
      <c r="D120" s="360">
        <v>225000</v>
      </c>
      <c r="E120" s="360">
        <v>200000</v>
      </c>
      <c r="F120" s="360">
        <v>200000</v>
      </c>
      <c r="G120" s="360">
        <v>200000</v>
      </c>
      <c r="H120" s="360">
        <v>175000</v>
      </c>
      <c r="I120" s="360">
        <v>218093.82</v>
      </c>
      <c r="J120" s="360">
        <v>197028.95</v>
      </c>
      <c r="K120" s="360">
        <v>209877.22999999998</v>
      </c>
      <c r="L120" s="360">
        <v>175000</v>
      </c>
      <c r="M120" s="360">
        <v>300000</v>
      </c>
      <c r="N120" s="355">
        <f t="shared" si="31"/>
        <v>2400000</v>
      </c>
      <c r="P120" s="355"/>
    </row>
    <row r="121" spans="1:16" x14ac:dyDescent="0.2">
      <c r="A121" s="356" t="s">
        <v>237</v>
      </c>
      <c r="B121" s="360">
        <v>250000</v>
      </c>
      <c r="C121" s="360">
        <v>350000</v>
      </c>
      <c r="D121" s="360">
        <v>450000</v>
      </c>
      <c r="E121" s="360">
        <v>400000</v>
      </c>
      <c r="F121" s="360">
        <v>400000</v>
      </c>
      <c r="G121" s="360">
        <v>400000</v>
      </c>
      <c r="H121" s="360">
        <v>350000</v>
      </c>
      <c r="I121" s="360">
        <v>400000</v>
      </c>
      <c r="J121" s="360">
        <v>400000</v>
      </c>
      <c r="K121" s="360">
        <v>450000</v>
      </c>
      <c r="L121" s="360">
        <v>350000</v>
      </c>
      <c r="M121" s="360">
        <v>600000</v>
      </c>
      <c r="N121" s="355">
        <f t="shared" si="31"/>
        <v>4800000</v>
      </c>
      <c r="P121" s="355"/>
    </row>
    <row r="122" spans="1:16" x14ac:dyDescent="0.2">
      <c r="A122" s="356" t="s">
        <v>209</v>
      </c>
      <c r="B122" s="360">
        <v>500000</v>
      </c>
      <c r="C122" s="360">
        <v>700000</v>
      </c>
      <c r="D122" s="360">
        <v>900000</v>
      </c>
      <c r="E122" s="360">
        <v>800000</v>
      </c>
      <c r="F122" s="360">
        <v>800000</v>
      </c>
      <c r="G122" s="360">
        <v>800000</v>
      </c>
      <c r="H122" s="360">
        <v>700000</v>
      </c>
      <c r="I122" s="360">
        <v>800000</v>
      </c>
      <c r="J122" s="360">
        <v>753326.33</v>
      </c>
      <c r="K122" s="360">
        <v>922335.43</v>
      </c>
      <c r="L122" s="360">
        <v>700000</v>
      </c>
      <c r="M122" s="360">
        <v>1200000</v>
      </c>
      <c r="N122" s="355">
        <f t="shared" si="31"/>
        <v>9575661.7599999998</v>
      </c>
      <c r="P122" s="355"/>
    </row>
    <row r="123" spans="1:16" x14ac:dyDescent="0.2">
      <c r="A123" s="356" t="s">
        <v>210</v>
      </c>
      <c r="B123" s="360">
        <v>1241187.6000000001</v>
      </c>
      <c r="C123" s="360">
        <v>1822582.71</v>
      </c>
      <c r="D123" s="360">
        <v>2440431.62</v>
      </c>
      <c r="E123" s="360">
        <v>2123467.3600000003</v>
      </c>
      <c r="F123" s="360">
        <v>2123383.73</v>
      </c>
      <c r="G123" s="360">
        <v>2106355.9900000002</v>
      </c>
      <c r="H123" s="360">
        <v>1820337.45</v>
      </c>
      <c r="I123" s="360">
        <v>2112819.3200000003</v>
      </c>
      <c r="J123" s="360">
        <v>1800000</v>
      </c>
      <c r="K123" s="360">
        <v>2434138.3499999996</v>
      </c>
      <c r="L123" s="360">
        <v>2119934.13</v>
      </c>
      <c r="M123" s="360">
        <v>3151963.32</v>
      </c>
      <c r="N123" s="355">
        <f t="shared" si="31"/>
        <v>25296601.580000002</v>
      </c>
      <c r="P123" s="355"/>
    </row>
    <row r="124" spans="1:16" x14ac:dyDescent="0.2">
      <c r="A124" s="356" t="s">
        <v>211</v>
      </c>
      <c r="B124" s="360">
        <v>7185234.5999999996</v>
      </c>
      <c r="C124" s="360">
        <v>5655353.2000000002</v>
      </c>
      <c r="D124" s="360">
        <v>6548365.5700000012</v>
      </c>
      <c r="E124" s="360">
        <v>7216146.2699999996</v>
      </c>
      <c r="F124" s="360">
        <v>7189898.8300000001</v>
      </c>
      <c r="G124" s="360">
        <v>6610338.3599999985</v>
      </c>
      <c r="H124" s="360">
        <v>6170101.5599999996</v>
      </c>
      <c r="I124" s="360">
        <v>7577873.0300000012</v>
      </c>
      <c r="J124" s="360">
        <v>7015008.7999999989</v>
      </c>
      <c r="K124" s="360">
        <v>7176815.4400000013</v>
      </c>
      <c r="L124" s="360">
        <v>6528015.2599999998</v>
      </c>
      <c r="M124" s="360">
        <v>5837185.3900000006</v>
      </c>
      <c r="N124" s="355">
        <f t="shared" si="31"/>
        <v>80710336.310000002</v>
      </c>
      <c r="P124" s="355"/>
    </row>
    <row r="125" spans="1:16" x14ac:dyDescent="0.2">
      <c r="A125" s="356" t="s">
        <v>16</v>
      </c>
      <c r="B125" s="358">
        <f>SUM(B119:B124)</f>
        <v>9426422.1999999993</v>
      </c>
      <c r="C125" s="358">
        <f t="shared" ref="C125:N125" si="32">SUM(C119:C124)</f>
        <v>8877935.9100000001</v>
      </c>
      <c r="D125" s="358">
        <f t="shared" si="32"/>
        <v>10788797.190000001</v>
      </c>
      <c r="E125" s="358">
        <f t="shared" si="32"/>
        <v>10939613.629999999</v>
      </c>
      <c r="F125" s="358">
        <f t="shared" si="32"/>
        <v>10913282.560000001</v>
      </c>
      <c r="G125" s="358">
        <f t="shared" si="32"/>
        <v>10316694.349999998</v>
      </c>
      <c r="H125" s="358">
        <f t="shared" si="32"/>
        <v>9390439.0099999998</v>
      </c>
      <c r="I125" s="358">
        <f t="shared" si="32"/>
        <v>11333786.170000002</v>
      </c>
      <c r="J125" s="358">
        <f t="shared" si="32"/>
        <v>10365364.079999998</v>
      </c>
      <c r="K125" s="358">
        <f t="shared" si="32"/>
        <v>11393166.450000001</v>
      </c>
      <c r="L125" s="358">
        <f t="shared" si="32"/>
        <v>10047949.390000001</v>
      </c>
      <c r="M125" s="358">
        <f t="shared" si="32"/>
        <v>11389148.710000001</v>
      </c>
      <c r="N125" s="358">
        <f t="shared" si="32"/>
        <v>125182599.65000001</v>
      </c>
      <c r="P125" s="355"/>
    </row>
    <row r="126" spans="1:16" x14ac:dyDescent="0.2">
      <c r="A126" s="356" t="s">
        <v>74</v>
      </c>
      <c r="B126" s="359">
        <v>0</v>
      </c>
      <c r="C126" s="359">
        <v>0</v>
      </c>
      <c r="D126" s="359">
        <v>0</v>
      </c>
      <c r="E126" s="359">
        <v>0</v>
      </c>
      <c r="F126" s="359">
        <v>0</v>
      </c>
      <c r="G126" s="359">
        <v>0</v>
      </c>
      <c r="H126" s="359">
        <v>0</v>
      </c>
      <c r="I126" s="359">
        <v>0</v>
      </c>
      <c r="J126" s="359">
        <v>0</v>
      </c>
      <c r="K126" s="359">
        <v>0</v>
      </c>
      <c r="L126" s="359">
        <v>0</v>
      </c>
      <c r="M126" s="359">
        <v>0</v>
      </c>
      <c r="N126" s="359">
        <v>0</v>
      </c>
      <c r="P126" s="355"/>
    </row>
    <row r="128" spans="1:16" x14ac:dyDescent="0.2">
      <c r="A128" s="348" t="s">
        <v>16</v>
      </c>
      <c r="B128" s="355">
        <f>SUM(B12,B19,B26,B33,B40,B47,B54,B61,B67,B73,B79,B85,B95,B105,B115,B125)</f>
        <v>31321847.172645833</v>
      </c>
      <c r="C128" s="355">
        <f t="shared" ref="C128:N128" si="33">SUM(C12,C19,C26,C33,C40,C47,C54,C61,C67,C73,C79,C85,C95,C105,C115,C125)</f>
        <v>33553324.493125003</v>
      </c>
      <c r="D128" s="355">
        <f t="shared" si="33"/>
        <v>28476026.198494237</v>
      </c>
      <c r="E128" s="355">
        <f t="shared" si="33"/>
        <v>29863473.873409025</v>
      </c>
      <c r="F128" s="355">
        <f t="shared" si="33"/>
        <v>26062869.037193194</v>
      </c>
      <c r="G128" s="355">
        <f t="shared" si="33"/>
        <v>24922880.631836664</v>
      </c>
      <c r="H128" s="355">
        <f t="shared" si="33"/>
        <v>21101071.804499999</v>
      </c>
      <c r="I128" s="355">
        <f t="shared" si="33"/>
        <v>25291502.208999999</v>
      </c>
      <c r="J128" s="355">
        <f t="shared" si="33"/>
        <v>23418654.743499998</v>
      </c>
      <c r="K128" s="355">
        <f t="shared" si="33"/>
        <v>28046680.310390279</v>
      </c>
      <c r="L128" s="355">
        <f t="shared" si="33"/>
        <v>31400404.588284999</v>
      </c>
      <c r="M128" s="355">
        <f t="shared" si="33"/>
        <v>32872876.34545555</v>
      </c>
      <c r="N128" s="355">
        <f t="shared" si="33"/>
        <v>336331611.40783477</v>
      </c>
    </row>
    <row r="129" spans="1:14" x14ac:dyDescent="0.2">
      <c r="A129" s="348" t="s">
        <v>74</v>
      </c>
      <c r="B129" s="359">
        <v>0</v>
      </c>
      <c r="C129" s="359">
        <v>0</v>
      </c>
      <c r="D129" s="359">
        <v>0</v>
      </c>
      <c r="E129" s="359">
        <v>0</v>
      </c>
      <c r="F129" s="359">
        <v>0</v>
      </c>
      <c r="G129" s="359">
        <v>0</v>
      </c>
      <c r="H129" s="359">
        <v>0</v>
      </c>
      <c r="I129" s="359">
        <v>0</v>
      </c>
      <c r="J129" s="359">
        <v>0</v>
      </c>
      <c r="K129" s="359">
        <v>0</v>
      </c>
      <c r="L129" s="359">
        <v>0</v>
      </c>
      <c r="M129" s="359">
        <v>0</v>
      </c>
      <c r="N129" s="359">
        <v>0</v>
      </c>
    </row>
    <row r="131" spans="1:14" x14ac:dyDescent="0.2">
      <c r="A131" s="102"/>
    </row>
  </sheetData>
  <mergeCells count="4">
    <mergeCell ref="A1:N1"/>
    <mergeCell ref="A2:N2"/>
    <mergeCell ref="A3:N3"/>
    <mergeCell ref="A4:N4"/>
  </mergeCells>
  <printOptions horizontalCentered="1"/>
  <pageMargins left="0.5" right="0.5" top="1" bottom="1" header="0.5" footer="0.5"/>
  <pageSetup scale="66" fitToHeight="6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2" manualBreakCount="2">
    <brk id="49" max="13" man="1"/>
    <brk id="97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560708-16A4-43D3-89F2-5EE802C42DF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1C13B7D-1551-4119-BBA0-C2DC75DCBA66}"/>
</file>

<file path=customXml/itemProps3.xml><?xml version="1.0" encoding="utf-8"?>
<ds:datastoreItem xmlns:ds="http://schemas.openxmlformats.org/officeDocument/2006/customXml" ds:itemID="{CD0C19B0-3442-45EE-99C8-1511ABE9DC2B}"/>
</file>

<file path=customXml/itemProps4.xml><?xml version="1.0" encoding="utf-8"?>
<ds:datastoreItem xmlns:ds="http://schemas.openxmlformats.org/officeDocument/2006/customXml" ds:itemID="{B63FF635-440E-4E23-9E33-536C0B90F5B3}"/>
</file>

<file path=customXml/itemProps5.xml><?xml version="1.0" encoding="utf-8"?>
<ds:datastoreItem xmlns:ds="http://schemas.openxmlformats.org/officeDocument/2006/customXml" ds:itemID="{1E4D01DD-C654-486D-A8F7-8EE5B906D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of Contents</vt:lpstr>
      <vt:lpstr>Rate Summary</vt:lpstr>
      <vt:lpstr>Rate Design</vt:lpstr>
      <vt:lpstr>Rate Spread (Blocks)</vt:lpstr>
      <vt:lpstr>Rate Spread</vt:lpstr>
      <vt:lpstr>Workpapers--&gt;</vt:lpstr>
      <vt:lpstr>Summary</vt:lpstr>
      <vt:lpstr>RY#2 Therms</vt:lpstr>
      <vt:lpstr>RY#2 Therms By Block</vt:lpstr>
      <vt:lpstr>Exh JDT-5 (JDT-RES_RD)</vt:lpstr>
      <vt:lpstr>Exh JDT-5 (JDT-C&amp;I-RD)</vt:lpstr>
      <vt:lpstr>Exh JDT-5 (JDT-INTRPL-RD)</vt:lpstr>
      <vt:lpstr>C-COS Allocation Factors (PSE)</vt:lpstr>
      <vt:lpstr>'Rate Design'!Print_Area</vt:lpstr>
      <vt:lpstr>'Rate Spread'!Print_Area</vt:lpstr>
      <vt:lpstr>'Rate Spread (Blocks)'!Print_Area</vt:lpstr>
      <vt:lpstr>'RY#2 Therms'!Print_Area</vt:lpstr>
      <vt:lpstr>'RY#2 Therms By Block'!Print_Area</vt:lpstr>
      <vt:lpstr>'C-COS Allocation Factors (PSE)'!Print_Titles</vt:lpstr>
      <vt:lpstr>'Exh JDT-5 (JDT-C&amp;I-RD)'!Print_Titles</vt:lpstr>
      <vt:lpstr>'Exh JDT-5 (JDT-INTRPL-RD)'!Print_Titles</vt:lpstr>
      <vt:lpstr>'Rate Summary'!Print_Titles</vt:lpstr>
      <vt:lpstr>'RY#2 Therms By Block'!Print_Titles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Paul.Schmidt@pse.com;Kelima.Yakupova@pse.com</dc:creator>
  <cp:lastModifiedBy>Schmidt, Paul</cp:lastModifiedBy>
  <cp:lastPrinted>2023-05-17T01:47:40Z</cp:lastPrinted>
  <dcterms:created xsi:type="dcterms:W3CDTF">2012-11-20T18:48:04Z</dcterms:created>
  <dcterms:modified xsi:type="dcterms:W3CDTF">2024-05-03T17:51:19Z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