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Cost of Capital\"/>
    </mc:Choice>
  </mc:AlternateContent>
  <bookViews>
    <workbookView xWindow="0" yWindow="0" windowWidth="28800" windowHeight="11388"/>
  </bookViews>
  <sheets>
    <sheet name="Sheet1" sheetId="1" r:id="rId1"/>
  </sheets>
  <definedNames>
    <definedName name="_xlnm.Print_Area" localSheetId="0">Sheet1!$A$1:$U$50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G40" i="1"/>
  <c r="H42" i="1" s="1"/>
  <c r="T39" i="1"/>
  <c r="R39" i="1"/>
  <c r="O39" i="1"/>
  <c r="L39" i="1"/>
  <c r="J39" i="1"/>
  <c r="H39" i="1"/>
  <c r="P39" i="1" s="1"/>
  <c r="F39" i="1"/>
  <c r="T38" i="1"/>
  <c r="R38" i="1"/>
  <c r="O38" i="1"/>
  <c r="L38" i="1"/>
  <c r="J38" i="1"/>
  <c r="H38" i="1"/>
  <c r="P38" i="1" s="1"/>
  <c r="F38" i="1"/>
  <c r="R37" i="1"/>
  <c r="O37" i="1"/>
  <c r="H37" i="1"/>
  <c r="L37" i="1" s="1"/>
  <c r="F37" i="1"/>
  <c r="T36" i="1"/>
  <c r="R36" i="1"/>
  <c r="O36" i="1"/>
  <c r="H36" i="1"/>
  <c r="L36" i="1" s="1"/>
  <c r="F36" i="1"/>
  <c r="T35" i="1"/>
  <c r="R35" i="1"/>
  <c r="O35" i="1"/>
  <c r="H35" i="1"/>
  <c r="L35" i="1" s="1"/>
  <c r="F35" i="1"/>
  <c r="T34" i="1"/>
  <c r="R34" i="1"/>
  <c r="O34" i="1"/>
  <c r="H34" i="1"/>
  <c r="L34" i="1" s="1"/>
  <c r="F34" i="1"/>
  <c r="T33" i="1"/>
  <c r="R33" i="1"/>
  <c r="O33" i="1"/>
  <c r="M33" i="1"/>
  <c r="H33" i="1"/>
  <c r="P33" i="1" s="1"/>
  <c r="F33" i="1"/>
  <c r="T32" i="1"/>
  <c r="R32" i="1"/>
  <c r="P32" i="1"/>
  <c r="Q32" i="1" s="1"/>
  <c r="M32" i="1"/>
  <c r="L32" i="1"/>
  <c r="J32" i="1"/>
  <c r="H32" i="1"/>
  <c r="O32" i="1" s="1"/>
  <c r="F32" i="1"/>
  <c r="T31" i="1"/>
  <c r="R31" i="1"/>
  <c r="M31" i="1"/>
  <c r="P31" i="1" s="1"/>
  <c r="L31" i="1"/>
  <c r="J31" i="1"/>
  <c r="H31" i="1"/>
  <c r="F31" i="1"/>
  <c r="T30" i="1"/>
  <c r="R30" i="1"/>
  <c r="O30" i="1"/>
  <c r="L30" i="1"/>
  <c r="J30" i="1"/>
  <c r="H30" i="1"/>
  <c r="P30" i="1" s="1"/>
  <c r="F30" i="1"/>
  <c r="T29" i="1"/>
  <c r="R29" i="1"/>
  <c r="O29" i="1"/>
  <c r="L29" i="1"/>
  <c r="J29" i="1"/>
  <c r="H29" i="1"/>
  <c r="P29" i="1" s="1"/>
  <c r="F29" i="1"/>
  <c r="T28" i="1"/>
  <c r="L28" i="1"/>
  <c r="J28" i="1"/>
  <c r="H28" i="1"/>
  <c r="P28" i="1" s="1"/>
  <c r="F28" i="1"/>
  <c r="T27" i="1"/>
  <c r="P27" i="1"/>
  <c r="H27" i="1"/>
  <c r="F27" i="1"/>
  <c r="P26" i="1"/>
  <c r="Q26" i="1" s="1"/>
  <c r="H26" i="1"/>
  <c r="F26" i="1"/>
  <c r="T25" i="1"/>
  <c r="K25" i="1"/>
  <c r="H25" i="1"/>
  <c r="F25" i="1"/>
  <c r="T24" i="1"/>
  <c r="O24" i="1"/>
  <c r="H24" i="1"/>
  <c r="L24" i="1" s="1"/>
  <c r="F24" i="1"/>
  <c r="T23" i="1"/>
  <c r="M23" i="1"/>
  <c r="O23" i="1" s="1"/>
  <c r="H23" i="1"/>
  <c r="L23" i="1" s="1"/>
  <c r="F23" i="1"/>
  <c r="T22" i="1"/>
  <c r="L22" i="1"/>
  <c r="K22" i="1"/>
  <c r="K40" i="1" s="1"/>
  <c r="H22" i="1"/>
  <c r="O22" i="1" s="1"/>
  <c r="F22" i="1"/>
  <c r="T21" i="1"/>
  <c r="M21" i="1"/>
  <c r="H21" i="1"/>
  <c r="L21" i="1" s="1"/>
  <c r="F21" i="1"/>
  <c r="T20" i="1"/>
  <c r="O20" i="1"/>
  <c r="L20" i="1"/>
  <c r="J20" i="1"/>
  <c r="H20" i="1"/>
  <c r="P20" i="1" s="1"/>
  <c r="F20" i="1"/>
  <c r="T19" i="1"/>
  <c r="L19" i="1"/>
  <c r="J19" i="1"/>
  <c r="H19" i="1"/>
  <c r="P19" i="1" s="1"/>
  <c r="F19" i="1"/>
  <c r="T18" i="1"/>
  <c r="P18" i="1"/>
  <c r="M18" i="1"/>
  <c r="L18" i="1"/>
  <c r="J18" i="1"/>
  <c r="H18" i="1"/>
  <c r="O18" i="1" s="1"/>
  <c r="F18" i="1"/>
  <c r="T17" i="1"/>
  <c r="P17" i="1"/>
  <c r="M17" i="1"/>
  <c r="L17" i="1"/>
  <c r="J17" i="1"/>
  <c r="H17" i="1"/>
  <c r="O17" i="1" s="1"/>
  <c r="F17" i="1"/>
  <c r="T16" i="1"/>
  <c r="P16" i="1"/>
  <c r="M16" i="1"/>
  <c r="L16" i="1"/>
  <c r="J16" i="1"/>
  <c r="H16" i="1"/>
  <c r="O16" i="1" s="1"/>
  <c r="F16" i="1"/>
  <c r="L15" i="1"/>
  <c r="J15" i="1"/>
  <c r="H15" i="1"/>
  <c r="P15" i="1" s="1"/>
  <c r="F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G3" i="1"/>
  <c r="Q19" i="1" l="1"/>
  <c r="Q30" i="1"/>
  <c r="O21" i="1"/>
  <c r="M40" i="1"/>
  <c r="Q27" i="1"/>
  <c r="Q31" i="1"/>
  <c r="Q33" i="1"/>
  <c r="Q39" i="1"/>
  <c r="Q20" i="1"/>
  <c r="L25" i="1"/>
  <c r="P25" i="1"/>
  <c r="J25" i="1"/>
  <c r="Q38" i="1"/>
  <c r="Q16" i="1"/>
  <c r="Q17" i="1"/>
  <c r="Q18" i="1"/>
  <c r="Q15" i="1"/>
  <c r="O25" i="1"/>
  <c r="O26" i="1"/>
  <c r="L26" i="1"/>
  <c r="J26" i="1"/>
  <c r="O27" i="1"/>
  <c r="J27" i="1"/>
  <c r="L27" i="1"/>
  <c r="Q28" i="1"/>
  <c r="Q29" i="1"/>
  <c r="J33" i="1"/>
  <c r="P36" i="1"/>
  <c r="H40" i="1"/>
  <c r="O15" i="1"/>
  <c r="O19" i="1"/>
  <c r="J21" i="1"/>
  <c r="P21" i="1"/>
  <c r="J22" i="1"/>
  <c r="P22" i="1"/>
  <c r="J23" i="1"/>
  <c r="P23" i="1"/>
  <c r="J24" i="1"/>
  <c r="O28" i="1"/>
  <c r="O31" i="1"/>
  <c r="L33" i="1"/>
  <c r="J34" i="1"/>
  <c r="J35" i="1"/>
  <c r="J36" i="1"/>
  <c r="J37" i="1"/>
  <c r="P24" i="1"/>
  <c r="P34" i="1"/>
  <c r="P35" i="1"/>
  <c r="P37" i="1"/>
  <c r="Q24" i="1" l="1"/>
  <c r="Q22" i="1"/>
  <c r="P40" i="1"/>
  <c r="Q37" i="1"/>
  <c r="T15" i="1"/>
  <c r="Q35" i="1"/>
  <c r="Q23" i="1"/>
  <c r="Q21" i="1"/>
  <c r="T26" i="1"/>
  <c r="Q25" i="1"/>
  <c r="Q34" i="1"/>
  <c r="Q36" i="1"/>
  <c r="T37" i="1" l="1"/>
  <c r="T40" i="1" s="1"/>
  <c r="S41" i="1" l="1"/>
  <c r="S40" i="1"/>
  <c r="J42" i="1" s="1"/>
  <c r="G42" i="1"/>
</calcChain>
</file>

<file path=xl/sharedStrings.xml><?xml version="1.0" encoding="utf-8"?>
<sst xmlns="http://schemas.openxmlformats.org/spreadsheetml/2006/main" count="119" uniqueCount="103">
  <si>
    <t>NORTHWEST NATURAL GAS COMPANY</t>
  </si>
  <si>
    <t>EMBEDDED COST OF LONG-TERM DEBT CAPITAL AT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</si>
  <si>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</si>
  <si>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</si>
  <si>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</si>
  <si>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</si>
  <si>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</si>
  <si>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</si>
  <si>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</si>
  <si>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</si>
  <si>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</si>
  <si>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</si>
  <si>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</si>
  <si>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</si>
  <si>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</si>
  <si>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</si>
  <si>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</si>
  <si>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</si>
  <si>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</si>
  <si>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</si>
  <si>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</si>
  <si>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</si>
  <si>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</si>
  <si>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</si>
  <si>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</si>
  <si>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</si>
  <si>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</si>
  <si>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</si>
  <si>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</si>
  <si>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</si>
  <si>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</si>
  <si>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</si>
  <si>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</si>
  <si>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</si>
  <si>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</si>
  <si>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</si>
  <si>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</si>
  <si>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</si>
  <si>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</si>
  <si>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</si>
  <si>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</si>
  <si>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</si>
  <si>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</si>
  <si>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</si>
  <si>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</si>
  <si>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</si>
  <si>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</si>
  <si>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</si>
  <si>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</si>
  <si>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</si>
  <si>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</si>
  <si>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</si>
  <si>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</si>
  <si>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</si>
  <si>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</si>
  <si>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1.545% Series</t>
  </si>
  <si>
    <t>12/5/2018</t>
  </si>
  <si>
    <t xml:space="preserve">   8.310% Series</t>
  </si>
  <si>
    <t>[1]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</si>
  <si>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</si>
  <si>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</si>
  <si>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</si>
  <si>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</si>
  <si>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</si>
  <si>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3.542%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</si>
  <si>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</si>
  <si>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</si>
  <si>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</si>
  <si>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</si>
  <si>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</si>
  <si>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</si>
  <si>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3.211% Series</t>
  </si>
  <si>
    <t>12/5/2026</t>
  </si>
  <si>
    <t xml:space="preserve">   7.000% Series</t>
  </si>
  <si>
    <t xml:space="preserve">   2.822%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</si>
  <si>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</si>
  <si>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</si>
  <si>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</si>
  <si>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</si>
  <si>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</si>
  <si>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</si>
  <si>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</si>
  <si>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</si>
  <si>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</si>
  <si>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</si>
  <si>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4.136% Series</t>
  </si>
  <si>
    <t>12/5/2046</t>
  </si>
  <si>
    <t xml:space="preserve">   3.685% Series</t>
  </si>
  <si>
    <t xml:space="preserve">   4.110% Series</t>
  </si>
  <si>
    <t>Prior Month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</si>
  <si>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</si>
  <si>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</si>
  <si>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</si>
  <si>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</si>
  <si>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</si>
  <si>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</si>
  <si>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</si>
  <si>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</si>
  <si>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</si>
  <si>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</si>
  <si>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Page 1 of 1</t>
  </si>
  <si>
    <t>Exh. BJW-4r</t>
  </si>
  <si>
    <t>*Highlighted revised on 02-20-2019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</si>
</sst>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0.000%"/>
    <numFmt numFmtId="166" formatCode="mm/yy"/>
    <numFmt numFmtId="167" formatCode="_(* #,##0.0_);_(* \(#,##0.0\);_(* &quot;-&quot;??_);_(@_)"/>
    <numFmt numFmtId="168" formatCode="#,##0.000_);\(#,##0.000\)"/>
    <numFmt numFmtId="169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Courier New"/>
      <family val="3"/>
    </font>
    <font>
      <b/>
      <sz val="9"/>
      <name val="Courier New"/>
      <family val="3"/>
    </font>
    <font>
      <sz val="9"/>
      <name val="Arial"/>
      <family val="2"/>
    </font>
    <font>
      <u/>
      <sz val="9"/>
      <name val="Arial"/>
      <family val="2"/>
    </font>
    <font>
      <sz val="10"/>
      <name val="Courier"/>
      <family val="3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left"/>
    </xf>
    <xf numFmtId="167" fontId="5" fillId="0" borderId="0" xfId="8" quotePrefix="1" applyNumberFormat="1" applyFont="1" applyFill="1" applyBorder="1" applyAlignment="1">
      <alignment horizontal="center"/>
    </xf>
    <xf numFmtId="37" fontId="5" fillId="0" borderId="0" xfId="0" applyNumberFormat="1" applyFont="1" applyFill="1" applyBorder="1" applyProtection="1"/>
    <xf numFmtId="39" fontId="5" fillId="0" borderId="0" xfId="0" applyNumberFormat="1" applyFont="1" applyFill="1" applyBorder="1" applyProtection="1"/>
    <xf numFmtId="168" fontId="5" fillId="0" borderId="0" xfId="0" applyNumberFormat="1" applyFont="1" applyFill="1" applyBorder="1" applyProtection="1"/>
    <xf numFmtId="165" fontId="3" fillId="0" borderId="0" xfId="3" applyNumberFormat="1" applyFont="1" applyFill="1"/>
    <xf numFmtId="165" fontId="5" fillId="0" borderId="0" xfId="5" quotePrefix="1" applyNumberFormat="1" applyFont="1" applyFill="1" applyBorder="1" applyAlignment="1" applyProtection="1">
      <alignment horizontal="right"/>
    </xf>
    <xf numFmtId="165" fontId="5" fillId="0" borderId="0" xfId="5" applyNumberFormat="1" applyFont="1" applyFill="1" applyBorder="1" applyAlignment="1" applyProtection="1">
      <alignment horizontal="right"/>
    </xf>
    <xf numFmtId="167" fontId="5" fillId="0" borderId="0" xfId="8" applyNumberFormat="1" applyFont="1" applyFill="1" applyBorder="1" applyAlignment="1">
      <alignment horizontal="center"/>
    </xf>
    <xf numFmtId="0" fontId="2" fillId="0" borderId="0" xfId="0" applyFont="1" applyFill="1" applyBorder="1" applyProtection="1"/>
    <xf numFmtId="169" fontId="2" fillId="0" borderId="3" xfId="0" applyNumberFormat="1" applyFont="1" applyFill="1" applyBorder="1" applyProtection="1"/>
    <xf numFmtId="5" fontId="2" fillId="0" borderId="0" xfId="0" applyNumberFormat="1" applyFont="1" applyFill="1" applyBorder="1" applyProtection="1"/>
    <xf numFmtId="169" fontId="2" fillId="0" borderId="0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quotePrefix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2" xfId="0" quotePrefix="1" applyFont="1" applyFill="1" applyBorder="1" applyAlignment="1">
      <alignment horizontal="centerContinuous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65" fontId="2" fillId="0" borderId="3" xfId="0" applyNumberFormat="1" applyFont="1" applyFill="1" applyBorder="1" applyProtection="1"/>
    <xf numFmtId="0" fontId="5" fillId="0" borderId="0" xfId="0" applyFont="1" applyFill="1" applyBorder="1"/>
    <xf numFmtId="165" fontId="5" fillId="0" borderId="0" xfId="3" applyNumberFormat="1" applyFont="1" applyFill="1" applyBorder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5" fontId="2" fillId="0" borderId="1" xfId="0" applyNumberFormat="1" applyFont="1" applyFill="1" applyBorder="1" applyProtection="1"/>
    <xf numFmtId="165" fontId="2" fillId="0" borderId="1" xfId="0" applyNumberFormat="1" applyFont="1" applyFill="1" applyBorder="1" applyProtection="1"/>
    <xf numFmtId="0" fontId="5" fillId="0" borderId="1" xfId="0" applyFont="1" applyFill="1" applyBorder="1"/>
    <xf numFmtId="0" fontId="2" fillId="0" borderId="1" xfId="0" applyFont="1" applyFill="1" applyBorder="1" applyProtection="1"/>
    <xf numFmtId="0" fontId="9" fillId="0" borderId="0" xfId="0" applyFont="1" applyFill="1"/>
    <xf numFmtId="38" fontId="5" fillId="0" borderId="0" xfId="1" applyNumberFormat="1" applyFont="1" applyFill="1" applyBorder="1"/>
    <xf numFmtId="165" fontId="5" fillId="0" borderId="0" xfId="0" applyNumberFormat="1" applyFont="1" applyFill="1" applyBorder="1" applyProtection="1"/>
    <xf numFmtId="37" fontId="5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center"/>
    </xf>
    <xf numFmtId="38" fontId="2" fillId="0" borderId="0" xfId="1" applyNumberFormat="1" applyFont="1" applyFill="1" applyBorder="1" applyAlignment="1">
      <alignment horizontal="right"/>
    </xf>
    <xf numFmtId="41" fontId="5" fillId="0" borderId="0" xfId="2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/>
    <xf numFmtId="169" fontId="2" fillId="0" borderId="3" xfId="0" applyNumberFormat="1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4" fontId="9" fillId="0" borderId="0" xfId="4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 applyProtection="1">
      <alignment horizontal="right"/>
    </xf>
    <xf numFmtId="166" fontId="5" fillId="0" borderId="0" xfId="6" applyNumberFormat="1" applyFont="1" applyFill="1" applyBorder="1"/>
    <xf numFmtId="166" fontId="5" fillId="0" borderId="0" xfId="7" applyNumberFormat="1" applyFont="1" applyFill="1" applyBorder="1"/>
    <xf numFmtId="14" fontId="5" fillId="0" borderId="0" xfId="6" applyNumberFormat="1" applyFont="1" applyFill="1" applyBorder="1"/>
    <xf numFmtId="14" fontId="5" fillId="0" borderId="0" xfId="7" applyNumberFormat="1" applyFont="1" applyFill="1" applyBorder="1" applyAlignment="1">
      <alignment horizontal="right"/>
    </xf>
    <xf numFmtId="14" fontId="5" fillId="0" borderId="0" xfId="9" applyNumberFormat="1" applyFont="1" applyFill="1" applyBorder="1"/>
    <xf numFmtId="14" fontId="5" fillId="0" borderId="0" xfId="10" applyNumberFormat="1" applyFont="1" applyFill="1" applyBorder="1" applyAlignment="1">
      <alignment horizontal="right"/>
    </xf>
    <xf numFmtId="14" fontId="5" fillId="0" borderId="0" xfId="6" applyNumberFormat="1" applyFont="1" applyFill="1" applyBorder="1" applyAlignment="1">
      <alignment horizontal="right"/>
    </xf>
    <xf numFmtId="0" fontId="9" fillId="0" borderId="0" xfId="0" applyFont="1" applyFill="1" applyBorder="1"/>
    <xf numFmtId="37" fontId="5" fillId="2" borderId="0" xfId="0" applyNumberFormat="1" applyFont="1" applyFill="1" applyBorder="1" applyProtection="1"/>
    <xf numFmtId="0" fontId="11" fillId="0" borderId="0" xfId="0" applyFont="1" applyFill="1" applyAlignment="1">
      <alignment horizontal="right"/>
    </xf>
    <xf numFmtId="0" fontId="5" fillId="0" borderId="0" xfId="0" quotePrefix="1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</cellXfs>
  <cellStyles count="11">
    <cellStyle name="Comma" xfId="1" builtinId="3"/>
    <cellStyle name="Comma [0]" xfId="2" builtinId="6"/>
    <cellStyle name="Comma 3" xfId="8"/>
    <cellStyle name="Normal" xfId="0" builtinId="0"/>
    <cellStyle name="Normal 4 11" xfId="6"/>
    <cellStyle name="Normal 4 9 2" xfId="9"/>
    <cellStyle name="Normal 5 7 2" xfId="10"/>
    <cellStyle name="Normal 5 8" xfId="7"/>
    <cellStyle name="Normal 6 6 3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abSelected="1" topLeftCell="H1" zoomScaleNormal="100" workbookViewId="0"/>
  </sheetViews>
  <sheetFormatPr defaultColWidth="9.109375" defaultRowHeight="14.4" x14ac:dyDescent="0.3"/>
  <cols>
    <col min="1" max="2" width="9.33203125" style="44" bestFit="1" customWidth="1"/>
    <col min="3" max="3" width="20" style="44" customWidth="1"/>
    <col min="4" max="5" width="9.88671875" style="44" bestFit="1" customWidth="1"/>
    <col min="6" max="6" width="13.6640625" style="44" bestFit="1" customWidth="1"/>
    <col min="7" max="7" width="18" style="44" bestFit="1" customWidth="1"/>
    <col min="8" max="8" width="19" style="44" bestFit="1" customWidth="1"/>
    <col min="9" max="9" width="13.5546875" style="54" customWidth="1"/>
    <col min="10" max="10" width="9.33203125" style="44" bestFit="1" customWidth="1"/>
    <col min="11" max="11" width="19" style="44" bestFit="1" customWidth="1"/>
    <col min="12" max="12" width="9.33203125" style="44" bestFit="1" customWidth="1"/>
    <col min="13" max="13" width="21.5546875" style="44" bestFit="1" customWidth="1"/>
    <col min="14" max="14" width="8" style="44" customWidth="1"/>
    <col min="15" max="15" width="9.33203125" style="44" bestFit="1" customWidth="1"/>
    <col min="16" max="16" width="19.44140625" style="44" customWidth="1"/>
    <col min="17" max="19" width="9.33203125" style="44" bestFit="1" customWidth="1"/>
    <col min="20" max="20" width="16.5546875" style="44" bestFit="1" customWidth="1"/>
    <col min="21" max="21" width="9.109375" style="44"/>
    <col min="22" max="23" width="9.33203125" style="44" bestFit="1" customWidth="1"/>
    <col min="24" max="16384" width="9.109375" style="44"/>
  </cols>
  <sheetData>
    <row r="1" spans="1:23" ht="15.6" x14ac:dyDescent="0.3">
      <c r="A1" s="52" t="s">
        <v>101</v>
      </c>
      <c r="G1" s="69" t="s">
        <v>0</v>
      </c>
      <c r="H1" s="69"/>
      <c r="I1" s="69"/>
      <c r="J1" s="69"/>
      <c r="K1" s="69"/>
      <c r="T1" s="67" t="s">
        <v>101</v>
      </c>
    </row>
    <row r="2" spans="1:23" ht="15.6" x14ac:dyDescent="0.3">
      <c r="G2" s="70" t="s">
        <v>1</v>
      </c>
      <c r="H2" s="70"/>
      <c r="I2" s="70"/>
      <c r="J2" s="70"/>
      <c r="K2" s="70"/>
      <c r="T2" s="67" t="s">
        <v>100</v>
      </c>
    </row>
    <row r="3" spans="1:23" ht="15.6" x14ac:dyDescent="0.3">
      <c r="G3" s="71">
        <f>F6</f>
        <v>43373</v>
      </c>
      <c r="H3" s="71"/>
      <c r="I3" s="71"/>
      <c r="J3" s="71"/>
      <c r="K3" s="71"/>
      <c r="T3" s="67" t="s">
        <v>102</v>
      </c>
    </row>
    <row r="4" spans="1:23" x14ac:dyDescent="0.3">
      <c r="A4" s="2"/>
      <c r="B4" s="2"/>
      <c r="C4" s="2"/>
      <c r="D4" s="1"/>
      <c r="E4" s="1"/>
      <c r="F4" s="1"/>
      <c r="G4" s="2"/>
      <c r="H4" s="2"/>
      <c r="I4" s="1"/>
      <c r="J4" s="2"/>
      <c r="K4" s="55" t="s">
        <v>2</v>
      </c>
      <c r="L4" s="2"/>
      <c r="M4" s="55" t="s">
        <v>3</v>
      </c>
      <c r="N4" s="55"/>
      <c r="O4" s="2"/>
      <c r="P4" s="2"/>
      <c r="Q4" s="2"/>
      <c r="R4" s="2"/>
      <c r="S4" s="2"/>
      <c r="T4" s="2"/>
    </row>
    <row r="5" spans="1:23" x14ac:dyDescent="0.3">
      <c r="A5" s="2" t="s">
        <v>4</v>
      </c>
      <c r="B5" s="2"/>
      <c r="C5" s="2"/>
      <c r="D5" s="1"/>
      <c r="E5" s="1"/>
      <c r="F5" s="1"/>
      <c r="G5" s="2"/>
      <c r="H5" s="2"/>
      <c r="I5" s="28" t="s">
        <v>5</v>
      </c>
      <c r="J5" s="25"/>
      <c r="K5" s="24" t="s">
        <v>6</v>
      </c>
      <c r="L5" s="25"/>
      <c r="M5" s="24" t="s">
        <v>7</v>
      </c>
      <c r="N5" s="24"/>
      <c r="O5" s="25"/>
      <c r="P5" s="24" t="s">
        <v>8</v>
      </c>
      <c r="Q5" s="25"/>
      <c r="R5" s="1" t="s">
        <v>9</v>
      </c>
      <c r="S5" s="26" t="s">
        <v>10</v>
      </c>
      <c r="T5" s="27" t="s">
        <v>11</v>
      </c>
    </row>
    <row r="6" spans="1:23" x14ac:dyDescent="0.3">
      <c r="A6" s="2"/>
      <c r="B6" s="2"/>
      <c r="C6" s="1" t="s">
        <v>12</v>
      </c>
      <c r="D6" s="1"/>
      <c r="E6" s="1"/>
      <c r="F6" s="56">
        <v>43373</v>
      </c>
      <c r="G6" s="2"/>
      <c r="H6" s="2"/>
      <c r="I6" s="1"/>
      <c r="J6" s="27" t="s">
        <v>13</v>
      </c>
      <c r="K6" s="2"/>
      <c r="L6" s="1" t="s">
        <v>13</v>
      </c>
      <c r="M6" s="2"/>
      <c r="N6" s="2"/>
      <c r="O6" s="1" t="s">
        <v>13</v>
      </c>
      <c r="P6" s="2"/>
      <c r="Q6" s="26" t="s">
        <v>14</v>
      </c>
      <c r="R6" s="1" t="s">
        <v>15</v>
      </c>
      <c r="S6" s="26" t="s">
        <v>16</v>
      </c>
      <c r="T6" s="27" t="s">
        <v>17</v>
      </c>
    </row>
    <row r="7" spans="1:23" x14ac:dyDescent="0.3">
      <c r="A7" s="2"/>
      <c r="B7" s="2" t="s">
        <v>18</v>
      </c>
      <c r="C7" s="27" t="s">
        <v>19</v>
      </c>
      <c r="D7" s="27" t="s">
        <v>20</v>
      </c>
      <c r="E7" s="27" t="s">
        <v>21</v>
      </c>
      <c r="F7" s="1" t="s">
        <v>22</v>
      </c>
      <c r="G7" s="2"/>
      <c r="H7" s="2"/>
      <c r="I7" s="1"/>
      <c r="J7" s="27" t="s">
        <v>23</v>
      </c>
      <c r="K7" s="2"/>
      <c r="L7" s="1" t="s">
        <v>23</v>
      </c>
      <c r="M7" s="2"/>
      <c r="N7" s="2"/>
      <c r="O7" s="1" t="s">
        <v>23</v>
      </c>
      <c r="P7" s="26"/>
      <c r="Q7" s="26" t="s">
        <v>23</v>
      </c>
      <c r="R7" s="1" t="s">
        <v>24</v>
      </c>
      <c r="S7" s="26" t="s">
        <v>25</v>
      </c>
      <c r="T7" s="27" t="s">
        <v>26</v>
      </c>
    </row>
    <row r="8" spans="1:23" x14ac:dyDescent="0.3">
      <c r="A8" s="27" t="s">
        <v>27</v>
      </c>
      <c r="B8" s="3" t="s">
        <v>28</v>
      </c>
      <c r="C8" s="28" t="s">
        <v>29</v>
      </c>
      <c r="D8" s="28" t="s">
        <v>30</v>
      </c>
      <c r="E8" s="28" t="s">
        <v>20</v>
      </c>
      <c r="F8" s="3" t="s">
        <v>21</v>
      </c>
      <c r="G8" s="28" t="s">
        <v>31</v>
      </c>
      <c r="H8" s="28" t="s">
        <v>32</v>
      </c>
      <c r="I8" s="28" t="s">
        <v>33</v>
      </c>
      <c r="J8" s="3" t="s">
        <v>33</v>
      </c>
      <c r="K8" s="3" t="s">
        <v>33</v>
      </c>
      <c r="L8" s="3" t="s">
        <v>33</v>
      </c>
      <c r="M8" s="3" t="s">
        <v>33</v>
      </c>
      <c r="N8" s="3"/>
      <c r="O8" s="3" t="s">
        <v>33</v>
      </c>
      <c r="P8" s="3" t="s">
        <v>33</v>
      </c>
      <c r="Q8" s="29" t="s">
        <v>33</v>
      </c>
      <c r="R8" s="3" t="s">
        <v>34</v>
      </c>
      <c r="S8" s="30" t="s">
        <v>35</v>
      </c>
      <c r="T8" s="28" t="s">
        <v>36</v>
      </c>
      <c r="V8" s="72"/>
      <c r="W8" s="72"/>
    </row>
    <row r="9" spans="1:23" x14ac:dyDescent="0.3">
      <c r="A9" s="17"/>
      <c r="B9" s="17"/>
      <c r="C9" s="23" t="s">
        <v>37</v>
      </c>
      <c r="D9" s="23" t="s">
        <v>38</v>
      </c>
      <c r="E9" s="23" t="s">
        <v>39</v>
      </c>
      <c r="F9" s="23"/>
      <c r="G9" s="23" t="s">
        <v>40</v>
      </c>
      <c r="H9" s="23" t="s">
        <v>41</v>
      </c>
      <c r="I9" s="23" t="s">
        <v>42</v>
      </c>
      <c r="J9" s="23" t="s">
        <v>43</v>
      </c>
      <c r="K9" s="23" t="s">
        <v>44</v>
      </c>
      <c r="L9" s="23" t="s">
        <v>45</v>
      </c>
      <c r="M9" s="23" t="s">
        <v>46</v>
      </c>
      <c r="N9" s="23"/>
      <c r="O9" s="23" t="s">
        <v>47</v>
      </c>
      <c r="P9" s="23" t="s">
        <v>48</v>
      </c>
      <c r="Q9" s="23" t="s">
        <v>49</v>
      </c>
      <c r="R9" s="23" t="s">
        <v>50</v>
      </c>
      <c r="S9" s="23" t="s">
        <v>51</v>
      </c>
      <c r="T9" s="23" t="s">
        <v>52</v>
      </c>
      <c r="V9" s="4"/>
      <c r="W9" s="4"/>
    </row>
    <row r="10" spans="1:23" x14ac:dyDescent="0.3">
      <c r="A10" s="31"/>
      <c r="B10" s="31"/>
      <c r="C10" s="5" t="s">
        <v>53</v>
      </c>
      <c r="D10" s="23"/>
      <c r="E10" s="6"/>
      <c r="F10" s="6"/>
      <c r="G10" s="31"/>
      <c r="H10" s="10"/>
      <c r="I10" s="6"/>
      <c r="J10" s="31"/>
      <c r="K10" s="31"/>
      <c r="L10" s="31"/>
      <c r="M10" s="32"/>
      <c r="N10" s="32"/>
      <c r="O10" s="31"/>
      <c r="P10" s="31"/>
      <c r="Q10" s="31"/>
      <c r="R10" s="31"/>
      <c r="S10" s="31"/>
      <c r="T10" s="10"/>
      <c r="V10" s="7"/>
      <c r="W10" s="7"/>
    </row>
    <row r="11" spans="1:23" x14ac:dyDescent="0.3">
      <c r="A11" s="33"/>
      <c r="B11" s="33"/>
      <c r="C11" s="34" t="s">
        <v>54</v>
      </c>
      <c r="D11" s="6"/>
      <c r="E11" s="6"/>
      <c r="F11" s="6"/>
      <c r="G11" s="31"/>
      <c r="H11" s="10"/>
      <c r="I11" s="6"/>
      <c r="J11" s="31"/>
      <c r="K11" s="31"/>
      <c r="L11" s="31"/>
      <c r="M11" s="32"/>
      <c r="N11" s="32"/>
      <c r="O11" s="31"/>
      <c r="P11" s="31"/>
      <c r="Q11" s="31"/>
      <c r="R11" s="31"/>
      <c r="S11" s="31"/>
      <c r="T11" s="31"/>
      <c r="V11" s="7"/>
      <c r="W11" s="7"/>
    </row>
    <row r="12" spans="1:23" x14ac:dyDescent="0.3">
      <c r="A12" s="57"/>
      <c r="B12" s="14"/>
      <c r="C12" s="8"/>
      <c r="D12" s="58"/>
      <c r="E12" s="59"/>
      <c r="F12" s="9"/>
      <c r="G12" s="45"/>
      <c r="H12" s="10"/>
      <c r="I12" s="21"/>
      <c r="J12" s="11"/>
      <c r="K12" s="45"/>
      <c r="L12" s="12"/>
      <c r="M12" s="45"/>
      <c r="N12" s="45"/>
      <c r="O12" s="11"/>
      <c r="P12" s="10"/>
      <c r="Q12" s="12"/>
      <c r="R12" s="21"/>
      <c r="S12" s="46"/>
      <c r="T12" s="10"/>
      <c r="V12" s="13"/>
      <c r="W12" s="13"/>
    </row>
    <row r="13" spans="1:23" x14ac:dyDescent="0.3">
      <c r="A13" s="57"/>
      <c r="B13" s="14"/>
      <c r="C13" s="8"/>
      <c r="D13" s="60"/>
      <c r="E13" s="61"/>
      <c r="F13" s="9"/>
      <c r="G13" s="10"/>
      <c r="H13" s="10"/>
      <c r="I13" s="48"/>
      <c r="J13" s="11"/>
      <c r="K13" s="10"/>
      <c r="L13" s="12"/>
      <c r="M13" s="47"/>
      <c r="N13" s="47"/>
      <c r="O13" s="11"/>
      <c r="P13" s="10"/>
      <c r="Q13" s="12"/>
      <c r="R13" s="48"/>
      <c r="S13" s="46"/>
      <c r="T13" s="10"/>
      <c r="V13" s="13"/>
      <c r="W13" s="13"/>
    </row>
    <row r="14" spans="1:23" x14ac:dyDescent="0.3">
      <c r="A14" s="57"/>
      <c r="B14" s="14"/>
      <c r="C14" s="8"/>
      <c r="D14" s="60"/>
      <c r="E14" s="61"/>
      <c r="F14" s="9"/>
      <c r="G14" s="45"/>
      <c r="H14" s="10"/>
      <c r="I14" s="21"/>
      <c r="J14" s="11"/>
      <c r="K14" s="45"/>
      <c r="L14" s="12"/>
      <c r="M14" s="45"/>
      <c r="N14" s="49"/>
      <c r="O14" s="11"/>
      <c r="P14" s="10"/>
      <c r="Q14" s="12"/>
      <c r="R14" s="21"/>
      <c r="S14" s="46"/>
      <c r="T14" s="10"/>
      <c r="V14" s="13"/>
      <c r="W14" s="13"/>
    </row>
    <row r="15" spans="1:23" x14ac:dyDescent="0.3">
      <c r="A15" s="57">
        <f t="shared" ref="A15:A39" si="0">A14+1</f>
        <v>1</v>
      </c>
      <c r="B15" s="14">
        <v>1.545E-2</v>
      </c>
      <c r="C15" s="8" t="s">
        <v>55</v>
      </c>
      <c r="D15" s="60">
        <v>42709</v>
      </c>
      <c r="E15" s="61" t="s">
        <v>56</v>
      </c>
      <c r="F15" s="9">
        <f t="shared" ref="F15:F39" si="1">-($F$6-E15)/365</f>
        <v>0.18082191780821918</v>
      </c>
      <c r="G15" s="10">
        <v>75000000</v>
      </c>
      <c r="H15" s="10">
        <f t="shared" ref="H15:H39" si="2">G15</f>
        <v>75000000</v>
      </c>
      <c r="I15" s="48">
        <v>0</v>
      </c>
      <c r="J15" s="11">
        <f t="shared" ref="J15:J39" si="3">-I15/H15*100</f>
        <v>0</v>
      </c>
      <c r="K15" s="10">
        <v>187500</v>
      </c>
      <c r="L15" s="12">
        <f t="shared" ref="L15:L39" si="4">K15/H15*100</f>
        <v>0.25</v>
      </c>
      <c r="M15" s="47">
        <v>445685.45</v>
      </c>
      <c r="N15" s="47"/>
      <c r="O15" s="11">
        <f t="shared" ref="O15:O39" si="5">M15/H15*100</f>
        <v>0.59424726666666672</v>
      </c>
      <c r="P15" s="10">
        <f t="shared" ref="P15:P39" si="6">H15+I15-K15-M15</f>
        <v>74366814.549999997</v>
      </c>
      <c r="Q15" s="12">
        <f t="shared" ref="Q15:Q39" si="7">ROUND((P15/H15*100),3)</f>
        <v>99.156000000000006</v>
      </c>
      <c r="R15" s="48">
        <v>2</v>
      </c>
      <c r="S15" s="46">
        <v>1.9779999999999999E-2</v>
      </c>
      <c r="T15" s="66">
        <f t="shared" ref="T15:T39" si="8">ROUND((+S15*G15),0)</f>
        <v>1483500</v>
      </c>
      <c r="V15" s="13"/>
      <c r="W15" s="13"/>
    </row>
    <row r="16" spans="1:23" x14ac:dyDescent="0.3">
      <c r="A16" s="57">
        <f t="shared" si="0"/>
        <v>2</v>
      </c>
      <c r="B16" s="14">
        <v>8.3099999999999993E-2</v>
      </c>
      <c r="C16" s="8" t="s">
        <v>57</v>
      </c>
      <c r="D16" s="60">
        <v>34598</v>
      </c>
      <c r="E16" s="61">
        <v>43729</v>
      </c>
      <c r="F16" s="9">
        <f t="shared" si="1"/>
        <v>0.97534246575342465</v>
      </c>
      <c r="G16" s="10">
        <v>10000000</v>
      </c>
      <c r="H16" s="10">
        <f t="shared" si="2"/>
        <v>10000000</v>
      </c>
      <c r="I16" s="48">
        <v>0</v>
      </c>
      <c r="J16" s="11">
        <f t="shared" si="3"/>
        <v>0</v>
      </c>
      <c r="K16" s="10">
        <v>40000</v>
      </c>
      <c r="L16" s="12">
        <f t="shared" si="4"/>
        <v>0.4</v>
      </c>
      <c r="M16" s="50">
        <f>1062778+8979</f>
        <v>1071757</v>
      </c>
      <c r="N16" s="51" t="s">
        <v>58</v>
      </c>
      <c r="O16" s="11">
        <f t="shared" si="5"/>
        <v>10.71757</v>
      </c>
      <c r="P16" s="10">
        <f t="shared" si="6"/>
        <v>8888243</v>
      </c>
      <c r="Q16" s="12">
        <f t="shared" si="7"/>
        <v>88.882000000000005</v>
      </c>
      <c r="R16" s="48">
        <v>25</v>
      </c>
      <c r="S16" s="46">
        <v>9.4789999999999999E-2</v>
      </c>
      <c r="T16" s="10">
        <f t="shared" si="8"/>
        <v>947900</v>
      </c>
      <c r="V16" s="13"/>
      <c r="W16" s="13"/>
    </row>
    <row r="17" spans="1:23" x14ac:dyDescent="0.3">
      <c r="A17" s="57">
        <f t="shared" si="0"/>
        <v>3</v>
      </c>
      <c r="B17" s="14">
        <v>7.6300000000000007E-2</v>
      </c>
      <c r="C17" s="8" t="s">
        <v>59</v>
      </c>
      <c r="D17" s="60">
        <v>36503</v>
      </c>
      <c r="E17" s="61">
        <v>43808</v>
      </c>
      <c r="F17" s="9">
        <f t="shared" si="1"/>
        <v>1.1917808219178083</v>
      </c>
      <c r="G17" s="45">
        <v>20000000</v>
      </c>
      <c r="H17" s="10">
        <f t="shared" si="2"/>
        <v>20000000</v>
      </c>
      <c r="I17" s="48">
        <v>0</v>
      </c>
      <c r="J17" s="11">
        <f t="shared" si="3"/>
        <v>0</v>
      </c>
      <c r="K17" s="45">
        <v>150000</v>
      </c>
      <c r="L17" s="12">
        <f t="shared" si="4"/>
        <v>0.75</v>
      </c>
      <c r="M17" s="45">
        <f>18726+26690+5</f>
        <v>45421</v>
      </c>
      <c r="N17" s="45"/>
      <c r="O17" s="11">
        <f t="shared" si="5"/>
        <v>0.227105</v>
      </c>
      <c r="P17" s="10">
        <f t="shared" si="6"/>
        <v>19804579</v>
      </c>
      <c r="Q17" s="12">
        <f t="shared" si="7"/>
        <v>99.022999999999996</v>
      </c>
      <c r="R17" s="21">
        <v>20</v>
      </c>
      <c r="S17" s="46">
        <v>7.7270000000000005E-2</v>
      </c>
      <c r="T17" s="10">
        <f t="shared" si="8"/>
        <v>1545400</v>
      </c>
      <c r="V17" s="13"/>
      <c r="W17" s="13"/>
    </row>
    <row r="18" spans="1:23" x14ac:dyDescent="0.3">
      <c r="A18" s="57">
        <f t="shared" si="0"/>
        <v>4</v>
      </c>
      <c r="B18" s="14">
        <v>5.3699999999999998E-2</v>
      </c>
      <c r="C18" s="8" t="s">
        <v>60</v>
      </c>
      <c r="D18" s="60">
        <v>39897</v>
      </c>
      <c r="E18" s="61">
        <v>43862</v>
      </c>
      <c r="F18" s="9">
        <f t="shared" si="1"/>
        <v>1.3397260273972602</v>
      </c>
      <c r="G18" s="45">
        <v>75000000</v>
      </c>
      <c r="H18" s="10">
        <f t="shared" si="2"/>
        <v>75000000</v>
      </c>
      <c r="I18" s="48">
        <v>0</v>
      </c>
      <c r="J18" s="11">
        <f t="shared" si="3"/>
        <v>0</v>
      </c>
      <c r="K18" s="45">
        <v>468750</v>
      </c>
      <c r="L18" s="12">
        <f t="shared" si="4"/>
        <v>0.625</v>
      </c>
      <c r="M18" s="45">
        <f>10096000+20000+59000+2000+3200+119913+45945+18000+30000</f>
        <v>10394058</v>
      </c>
      <c r="N18" s="51" t="s">
        <v>61</v>
      </c>
      <c r="O18" s="11">
        <f t="shared" si="5"/>
        <v>13.858744000000002</v>
      </c>
      <c r="P18" s="10">
        <f t="shared" si="6"/>
        <v>64137192</v>
      </c>
      <c r="Q18" s="12">
        <f t="shared" si="7"/>
        <v>85.516000000000005</v>
      </c>
      <c r="R18" s="21">
        <v>11</v>
      </c>
      <c r="S18" s="46">
        <v>7.3270000000000002E-2</v>
      </c>
      <c r="T18" s="10">
        <f t="shared" si="8"/>
        <v>5495250</v>
      </c>
      <c r="V18" s="13"/>
      <c r="W18" s="13"/>
    </row>
    <row r="19" spans="1:23" x14ac:dyDescent="0.3">
      <c r="A19" s="57">
        <f t="shared" si="0"/>
        <v>5</v>
      </c>
      <c r="B19" s="14">
        <v>9.0499999999999997E-2</v>
      </c>
      <c r="C19" s="8" t="s">
        <v>62</v>
      </c>
      <c r="D19" s="60">
        <v>33463</v>
      </c>
      <c r="E19" s="61">
        <v>44421</v>
      </c>
      <c r="F19" s="9">
        <f t="shared" si="1"/>
        <v>2.871232876712329</v>
      </c>
      <c r="G19" s="10">
        <v>10000000</v>
      </c>
      <c r="H19" s="10">
        <f t="shared" si="2"/>
        <v>10000000</v>
      </c>
      <c r="I19" s="48">
        <v>0</v>
      </c>
      <c r="J19" s="11">
        <f t="shared" si="3"/>
        <v>0</v>
      </c>
      <c r="K19" s="10">
        <v>75000</v>
      </c>
      <c r="L19" s="12">
        <f t="shared" si="4"/>
        <v>0.75</v>
      </c>
      <c r="M19" s="47">
        <v>40333</v>
      </c>
      <c r="N19" s="47"/>
      <c r="O19" s="11">
        <f t="shared" si="5"/>
        <v>0.40333000000000002</v>
      </c>
      <c r="P19" s="10">
        <f t="shared" si="6"/>
        <v>9884667</v>
      </c>
      <c r="Q19" s="12">
        <f t="shared" si="7"/>
        <v>98.846999999999994</v>
      </c>
      <c r="R19" s="48">
        <v>30</v>
      </c>
      <c r="S19" s="46">
        <v>9.1630000000000003E-2</v>
      </c>
      <c r="T19" s="10">
        <f t="shared" si="8"/>
        <v>916300</v>
      </c>
      <c r="V19" s="13"/>
      <c r="W19" s="13"/>
    </row>
    <row r="20" spans="1:23" x14ac:dyDescent="0.3">
      <c r="A20" s="57">
        <f t="shared" si="0"/>
        <v>6</v>
      </c>
      <c r="B20" s="14">
        <v>3.1759999999999997E-2</v>
      </c>
      <c r="C20" s="8" t="s">
        <v>63</v>
      </c>
      <c r="D20" s="62">
        <v>40798</v>
      </c>
      <c r="E20" s="63">
        <v>44454</v>
      </c>
      <c r="F20" s="9">
        <f t="shared" si="1"/>
        <v>2.9616438356164383</v>
      </c>
      <c r="G20" s="45">
        <v>50000000</v>
      </c>
      <c r="H20" s="10">
        <f t="shared" si="2"/>
        <v>50000000</v>
      </c>
      <c r="I20" s="48">
        <v>0</v>
      </c>
      <c r="J20" s="11">
        <f t="shared" si="3"/>
        <v>0</v>
      </c>
      <c r="K20" s="45">
        <v>312500</v>
      </c>
      <c r="L20" s="12">
        <f t="shared" si="4"/>
        <v>0.625</v>
      </c>
      <c r="M20" s="45">
        <v>292655</v>
      </c>
      <c r="N20" s="51"/>
      <c r="O20" s="11">
        <f t="shared" si="5"/>
        <v>0.58531</v>
      </c>
      <c r="P20" s="10">
        <f t="shared" si="6"/>
        <v>49394845</v>
      </c>
      <c r="Q20" s="12">
        <f t="shared" si="7"/>
        <v>98.79</v>
      </c>
      <c r="R20" s="21">
        <v>10</v>
      </c>
      <c r="S20" s="46">
        <v>3.3189999999999997E-2</v>
      </c>
      <c r="T20" s="10">
        <f t="shared" si="8"/>
        <v>1659500</v>
      </c>
      <c r="V20" s="13"/>
      <c r="W20" s="13"/>
    </row>
    <row r="21" spans="1:23" x14ac:dyDescent="0.3">
      <c r="A21" s="57">
        <f t="shared" si="0"/>
        <v>7</v>
      </c>
      <c r="B21" s="14">
        <v>3.542E-2</v>
      </c>
      <c r="C21" s="8" t="s">
        <v>64</v>
      </c>
      <c r="D21" s="60">
        <v>41505</v>
      </c>
      <c r="E21" s="61">
        <v>45157</v>
      </c>
      <c r="F21" s="9">
        <f t="shared" si="1"/>
        <v>4.8876712328767127</v>
      </c>
      <c r="G21" s="45">
        <v>50000000</v>
      </c>
      <c r="H21" s="10">
        <f t="shared" si="2"/>
        <v>50000000</v>
      </c>
      <c r="I21" s="48">
        <v>0</v>
      </c>
      <c r="J21" s="11">
        <f t="shared" si="3"/>
        <v>0</v>
      </c>
      <c r="K21" s="45">
        <v>312500</v>
      </c>
      <c r="L21" s="12">
        <f t="shared" si="4"/>
        <v>0.625</v>
      </c>
      <c r="M21" s="45">
        <f>638179-312500</f>
        <v>325679</v>
      </c>
      <c r="N21" s="45"/>
      <c r="O21" s="11">
        <f t="shared" si="5"/>
        <v>0.65135799999999999</v>
      </c>
      <c r="P21" s="10">
        <f t="shared" si="6"/>
        <v>49361821</v>
      </c>
      <c r="Q21" s="12">
        <f t="shared" si="7"/>
        <v>98.724000000000004</v>
      </c>
      <c r="R21" s="21">
        <v>10</v>
      </c>
      <c r="S21" s="46">
        <v>3.696E-2</v>
      </c>
      <c r="T21" s="10">
        <f t="shared" si="8"/>
        <v>1848000</v>
      </c>
      <c r="V21" s="13"/>
      <c r="W21" s="13"/>
    </row>
    <row r="22" spans="1:23" x14ac:dyDescent="0.3">
      <c r="A22" s="57">
        <f t="shared" si="0"/>
        <v>8</v>
      </c>
      <c r="B22" s="14">
        <v>5.62E-2</v>
      </c>
      <c r="C22" s="8" t="s">
        <v>65</v>
      </c>
      <c r="D22" s="60">
        <v>37946</v>
      </c>
      <c r="E22" s="61">
        <v>45251</v>
      </c>
      <c r="F22" s="9">
        <f t="shared" si="1"/>
        <v>5.1452054794520548</v>
      </c>
      <c r="G22" s="45">
        <v>40000000</v>
      </c>
      <c r="H22" s="10">
        <f t="shared" si="2"/>
        <v>40000000</v>
      </c>
      <c r="I22" s="48">
        <v>0</v>
      </c>
      <c r="J22" s="11">
        <f t="shared" si="3"/>
        <v>0</v>
      </c>
      <c r="K22" s="45">
        <f>300000+72588</f>
        <v>372588</v>
      </c>
      <c r="L22" s="12">
        <f t="shared" si="4"/>
        <v>0.93147000000000002</v>
      </c>
      <c r="M22" s="45">
        <v>2952850</v>
      </c>
      <c r="N22" s="51" t="s">
        <v>66</v>
      </c>
      <c r="O22" s="11">
        <f t="shared" si="5"/>
        <v>7.3821250000000003</v>
      </c>
      <c r="P22" s="10">
        <f t="shared" si="6"/>
        <v>36674562</v>
      </c>
      <c r="Q22" s="12">
        <f t="shared" si="7"/>
        <v>91.686000000000007</v>
      </c>
      <c r="R22" s="21">
        <v>20</v>
      </c>
      <c r="S22" s="46">
        <v>6.3604750000000002E-2</v>
      </c>
      <c r="T22" s="10">
        <f t="shared" si="8"/>
        <v>2544190</v>
      </c>
      <c r="V22" s="13"/>
      <c r="W22" s="13"/>
    </row>
    <row r="23" spans="1:23" x14ac:dyDescent="0.3">
      <c r="A23" s="57">
        <f t="shared" si="0"/>
        <v>9</v>
      </c>
      <c r="B23" s="14">
        <v>7.7200000000000005E-2</v>
      </c>
      <c r="C23" s="8" t="s">
        <v>67</v>
      </c>
      <c r="D23" s="60">
        <v>36775</v>
      </c>
      <c r="E23" s="61">
        <v>45901</v>
      </c>
      <c r="F23" s="9">
        <f t="shared" si="1"/>
        <v>6.9260273972602739</v>
      </c>
      <c r="G23" s="10">
        <v>20000000</v>
      </c>
      <c r="H23" s="10">
        <f t="shared" si="2"/>
        <v>20000000</v>
      </c>
      <c r="I23" s="48">
        <v>0</v>
      </c>
      <c r="J23" s="11">
        <f t="shared" si="3"/>
        <v>0</v>
      </c>
      <c r="K23" s="10">
        <v>150000</v>
      </c>
      <c r="L23" s="12">
        <f t="shared" si="4"/>
        <v>0.75</v>
      </c>
      <c r="M23" s="47">
        <f>1099761+36500</f>
        <v>1136261</v>
      </c>
      <c r="N23" s="51" t="s">
        <v>68</v>
      </c>
      <c r="O23" s="11">
        <f t="shared" si="5"/>
        <v>5.681305</v>
      </c>
      <c r="P23" s="10">
        <f t="shared" si="6"/>
        <v>18713739</v>
      </c>
      <c r="Q23" s="12">
        <f t="shared" si="7"/>
        <v>93.569000000000003</v>
      </c>
      <c r="R23" s="6">
        <v>25</v>
      </c>
      <c r="S23" s="46">
        <v>8.3360000000000004E-2</v>
      </c>
      <c r="T23" s="10">
        <f t="shared" si="8"/>
        <v>1667200</v>
      </c>
      <c r="V23" s="13"/>
      <c r="W23" s="13"/>
    </row>
    <row r="24" spans="1:23" x14ac:dyDescent="0.3">
      <c r="A24" s="57">
        <f t="shared" si="0"/>
        <v>10</v>
      </c>
      <c r="B24" s="14">
        <v>6.5199999999999994E-2</v>
      </c>
      <c r="C24" s="8" t="s">
        <v>69</v>
      </c>
      <c r="D24" s="60">
        <v>35034</v>
      </c>
      <c r="E24" s="61">
        <v>45992</v>
      </c>
      <c r="F24" s="9">
        <f t="shared" si="1"/>
        <v>7.1753424657534248</v>
      </c>
      <c r="G24" s="10">
        <v>10000000</v>
      </c>
      <c r="H24" s="10">
        <f t="shared" si="2"/>
        <v>10000000</v>
      </c>
      <c r="I24" s="48">
        <v>0</v>
      </c>
      <c r="J24" s="11">
        <f t="shared" si="3"/>
        <v>0</v>
      </c>
      <c r="K24" s="10">
        <v>62500</v>
      </c>
      <c r="L24" s="12">
        <f t="shared" si="4"/>
        <v>0.625</v>
      </c>
      <c r="M24" s="47">
        <v>27646</v>
      </c>
      <c r="N24" s="47"/>
      <c r="O24" s="11">
        <f t="shared" si="5"/>
        <v>0.27645999999999998</v>
      </c>
      <c r="P24" s="10">
        <f t="shared" si="6"/>
        <v>9909854</v>
      </c>
      <c r="Q24" s="12">
        <f t="shared" si="7"/>
        <v>99.099000000000004</v>
      </c>
      <c r="R24" s="48">
        <v>30</v>
      </c>
      <c r="S24" s="46">
        <v>6.5890000000000004E-2</v>
      </c>
      <c r="T24" s="10">
        <f t="shared" si="8"/>
        <v>658900</v>
      </c>
      <c r="V24" s="13"/>
      <c r="W24" s="13"/>
    </row>
    <row r="25" spans="1:23" x14ac:dyDescent="0.3">
      <c r="A25" s="57">
        <f t="shared" si="0"/>
        <v>11</v>
      </c>
      <c r="B25" s="14">
        <v>7.0499999999999993E-2</v>
      </c>
      <c r="C25" s="8" t="s">
        <v>70</v>
      </c>
      <c r="D25" s="60">
        <v>35353</v>
      </c>
      <c r="E25" s="61">
        <v>46310</v>
      </c>
      <c r="F25" s="9">
        <f t="shared" si="1"/>
        <v>8.0465753424657542</v>
      </c>
      <c r="G25" s="10">
        <v>20000000</v>
      </c>
      <c r="H25" s="10">
        <f t="shared" si="2"/>
        <v>20000000</v>
      </c>
      <c r="I25" s="48">
        <v>0</v>
      </c>
      <c r="J25" s="11">
        <f t="shared" si="3"/>
        <v>0</v>
      </c>
      <c r="K25" s="10">
        <f>20000000*0.00625</f>
        <v>125000</v>
      </c>
      <c r="L25" s="12">
        <f t="shared" si="4"/>
        <v>0.625</v>
      </c>
      <c r="M25" s="47">
        <v>50940</v>
      </c>
      <c r="N25" s="47"/>
      <c r="O25" s="11">
        <f t="shared" si="5"/>
        <v>0.25469999999999998</v>
      </c>
      <c r="P25" s="10">
        <f t="shared" si="6"/>
        <v>19824060</v>
      </c>
      <c r="Q25" s="12">
        <f t="shared" si="7"/>
        <v>99.12</v>
      </c>
      <c r="R25" s="48">
        <v>30</v>
      </c>
      <c r="S25" s="46">
        <v>7.1209999999999996E-2</v>
      </c>
      <c r="T25" s="10">
        <f t="shared" si="8"/>
        <v>1424200</v>
      </c>
      <c r="V25" s="13"/>
      <c r="W25" s="13"/>
    </row>
    <row r="26" spans="1:23" x14ac:dyDescent="0.3">
      <c r="A26" s="57">
        <f t="shared" si="0"/>
        <v>12</v>
      </c>
      <c r="B26" s="14">
        <v>3.211E-2</v>
      </c>
      <c r="C26" s="8" t="s">
        <v>71</v>
      </c>
      <c r="D26" s="60">
        <v>42709</v>
      </c>
      <c r="E26" s="64" t="s">
        <v>72</v>
      </c>
      <c r="F26" s="9">
        <f t="shared" si="1"/>
        <v>8.1863013698630134</v>
      </c>
      <c r="G26" s="10">
        <v>35000000</v>
      </c>
      <c r="H26" s="10">
        <f t="shared" si="2"/>
        <v>35000000</v>
      </c>
      <c r="I26" s="48">
        <v>0</v>
      </c>
      <c r="J26" s="11">
        <f t="shared" si="3"/>
        <v>0</v>
      </c>
      <c r="K26" s="10">
        <v>218750</v>
      </c>
      <c r="L26" s="12">
        <f t="shared" si="4"/>
        <v>0.625</v>
      </c>
      <c r="M26" s="47">
        <v>288002.64</v>
      </c>
      <c r="N26" s="47"/>
      <c r="O26" s="11">
        <f t="shared" si="5"/>
        <v>0.82286468571428573</v>
      </c>
      <c r="P26" s="10">
        <f t="shared" si="6"/>
        <v>34493247.359999999</v>
      </c>
      <c r="Q26" s="12">
        <f t="shared" si="7"/>
        <v>98.552000000000007</v>
      </c>
      <c r="R26" s="48">
        <v>10</v>
      </c>
      <c r="S26" s="46">
        <v>3.3829999999999999E-2</v>
      </c>
      <c r="T26" s="66">
        <f t="shared" si="8"/>
        <v>1184050</v>
      </c>
      <c r="V26" s="13"/>
      <c r="W26" s="13"/>
    </row>
    <row r="27" spans="1:23" x14ac:dyDescent="0.3">
      <c r="A27" s="57">
        <f t="shared" si="0"/>
        <v>13</v>
      </c>
      <c r="B27" s="14">
        <v>7.0000000000000007E-2</v>
      </c>
      <c r="C27" s="8" t="s">
        <v>73</v>
      </c>
      <c r="D27" s="60">
        <v>35570</v>
      </c>
      <c r="E27" s="61">
        <v>46528</v>
      </c>
      <c r="F27" s="9">
        <f t="shared" si="1"/>
        <v>8.6438356164383556</v>
      </c>
      <c r="G27" s="10">
        <v>20000000</v>
      </c>
      <c r="H27" s="10">
        <f t="shared" si="2"/>
        <v>20000000</v>
      </c>
      <c r="I27" s="48">
        <v>0</v>
      </c>
      <c r="J27" s="11">
        <f t="shared" si="3"/>
        <v>0</v>
      </c>
      <c r="K27" s="10">
        <v>125000</v>
      </c>
      <c r="L27" s="12">
        <f t="shared" si="4"/>
        <v>0.625</v>
      </c>
      <c r="M27" s="47">
        <v>28905.89</v>
      </c>
      <c r="N27" s="47"/>
      <c r="O27" s="11">
        <f t="shared" si="5"/>
        <v>0.14452945</v>
      </c>
      <c r="P27" s="10">
        <f t="shared" si="6"/>
        <v>19846094.109999999</v>
      </c>
      <c r="Q27" s="12">
        <f t="shared" si="7"/>
        <v>99.23</v>
      </c>
      <c r="R27" s="48">
        <v>30</v>
      </c>
      <c r="S27" s="46">
        <v>7.0620000000000002E-2</v>
      </c>
      <c r="T27" s="10">
        <f t="shared" si="8"/>
        <v>1412400</v>
      </c>
      <c r="V27" s="13"/>
      <c r="W27" s="13"/>
    </row>
    <row r="28" spans="1:23" x14ac:dyDescent="0.3">
      <c r="A28" s="57">
        <f t="shared" si="0"/>
        <v>14</v>
      </c>
      <c r="B28" s="14">
        <v>2.8219999999999999E-2</v>
      </c>
      <c r="C28" s="8" t="s">
        <v>74</v>
      </c>
      <c r="D28" s="60">
        <v>42991</v>
      </c>
      <c r="E28" s="61">
        <v>46643</v>
      </c>
      <c r="F28" s="9">
        <f t="shared" si="1"/>
        <v>8.9589041095890405</v>
      </c>
      <c r="G28" s="10">
        <v>25000000</v>
      </c>
      <c r="H28" s="10">
        <f t="shared" si="2"/>
        <v>25000000</v>
      </c>
      <c r="I28" s="48">
        <v>0</v>
      </c>
      <c r="J28" s="11">
        <f t="shared" si="3"/>
        <v>0</v>
      </c>
      <c r="K28" s="10">
        <v>150000</v>
      </c>
      <c r="L28" s="12">
        <f t="shared" si="4"/>
        <v>0.6</v>
      </c>
      <c r="M28" s="47">
        <v>159884.58999999997</v>
      </c>
      <c r="N28" s="47"/>
      <c r="O28" s="11">
        <f t="shared" si="5"/>
        <v>0.63953835999999986</v>
      </c>
      <c r="P28" s="10">
        <f t="shared" si="6"/>
        <v>24690115.41</v>
      </c>
      <c r="Q28" s="12">
        <f t="shared" si="7"/>
        <v>98.76</v>
      </c>
      <c r="R28" s="48">
        <v>10</v>
      </c>
      <c r="S28" s="46">
        <v>2.9659999999999999E-2</v>
      </c>
      <c r="T28" s="10">
        <f t="shared" si="8"/>
        <v>741500</v>
      </c>
      <c r="V28" s="13"/>
      <c r="W28" s="13"/>
    </row>
    <row r="29" spans="1:23" x14ac:dyDescent="0.3">
      <c r="A29" s="57">
        <f t="shared" si="0"/>
        <v>15</v>
      </c>
      <c r="B29" s="14">
        <v>6.6500000000000004E-2</v>
      </c>
      <c r="C29" s="8" t="s">
        <v>75</v>
      </c>
      <c r="D29" s="60">
        <v>35744</v>
      </c>
      <c r="E29" s="61">
        <v>46701</v>
      </c>
      <c r="F29" s="9">
        <f t="shared" si="1"/>
        <v>9.117808219178082</v>
      </c>
      <c r="G29" s="45">
        <v>19700000</v>
      </c>
      <c r="H29" s="10">
        <f t="shared" si="2"/>
        <v>19700000</v>
      </c>
      <c r="I29" s="48">
        <v>0</v>
      </c>
      <c r="J29" s="11">
        <f t="shared" si="3"/>
        <v>0</v>
      </c>
      <c r="K29" s="45">
        <v>125000</v>
      </c>
      <c r="L29" s="12">
        <f t="shared" si="4"/>
        <v>0.63451776649746194</v>
      </c>
      <c r="M29" s="45">
        <v>37800</v>
      </c>
      <c r="N29" s="49" t="s">
        <v>76</v>
      </c>
      <c r="O29" s="11">
        <f t="shared" si="5"/>
        <v>0.1918781725888325</v>
      </c>
      <c r="P29" s="10">
        <f t="shared" si="6"/>
        <v>19537200</v>
      </c>
      <c r="Q29" s="12">
        <f t="shared" si="7"/>
        <v>99.174000000000007</v>
      </c>
      <c r="R29" s="48">
        <f t="shared" ref="R29:R39" si="9">DATEDIF(D28,E28,"Y")</f>
        <v>10</v>
      </c>
      <c r="S29" s="46">
        <v>6.7140000000000005E-2</v>
      </c>
      <c r="T29" s="10">
        <f t="shared" si="8"/>
        <v>1322658</v>
      </c>
      <c r="V29" s="13"/>
      <c r="W29" s="13"/>
    </row>
    <row r="30" spans="1:23" x14ac:dyDescent="0.3">
      <c r="A30" s="57">
        <f t="shared" si="0"/>
        <v>16</v>
      </c>
      <c r="B30" s="14">
        <v>6.6500000000000004E-2</v>
      </c>
      <c r="C30" s="8" t="s">
        <v>75</v>
      </c>
      <c r="D30" s="60">
        <v>35947</v>
      </c>
      <c r="E30" s="61">
        <v>46905</v>
      </c>
      <c r="F30" s="9">
        <f t="shared" si="1"/>
        <v>9.6767123287671239</v>
      </c>
      <c r="G30" s="45">
        <v>10000000</v>
      </c>
      <c r="H30" s="10">
        <f t="shared" si="2"/>
        <v>10000000</v>
      </c>
      <c r="I30" s="48">
        <v>0</v>
      </c>
      <c r="J30" s="11">
        <f t="shared" si="3"/>
        <v>0</v>
      </c>
      <c r="K30" s="45">
        <v>75000</v>
      </c>
      <c r="L30" s="12">
        <f t="shared" si="4"/>
        <v>0.75</v>
      </c>
      <c r="M30" s="45">
        <v>23300</v>
      </c>
      <c r="N30" s="45"/>
      <c r="O30" s="11">
        <f t="shared" si="5"/>
        <v>0.23300000000000001</v>
      </c>
      <c r="P30" s="10">
        <f t="shared" si="6"/>
        <v>9901700</v>
      </c>
      <c r="Q30" s="12">
        <f t="shared" si="7"/>
        <v>99.016999999999996</v>
      </c>
      <c r="R30" s="48">
        <f t="shared" si="9"/>
        <v>30</v>
      </c>
      <c r="S30" s="46">
        <v>6.7269999999999996E-2</v>
      </c>
      <c r="T30" s="10">
        <f t="shared" si="8"/>
        <v>672700</v>
      </c>
      <c r="V30" s="13"/>
      <c r="W30" s="13"/>
    </row>
    <row r="31" spans="1:23" x14ac:dyDescent="0.3">
      <c r="A31" s="57">
        <f t="shared" si="0"/>
        <v>17</v>
      </c>
      <c r="B31" s="14">
        <v>7.7399999999999997E-2</v>
      </c>
      <c r="C31" s="8" t="s">
        <v>77</v>
      </c>
      <c r="D31" s="60">
        <v>36767</v>
      </c>
      <c r="E31" s="61">
        <v>47724</v>
      </c>
      <c r="F31" s="9">
        <f t="shared" si="1"/>
        <v>11.920547945205479</v>
      </c>
      <c r="G31" s="45">
        <v>20000000</v>
      </c>
      <c r="H31" s="10">
        <f t="shared" si="2"/>
        <v>20000000</v>
      </c>
      <c r="I31" s="48">
        <v>0</v>
      </c>
      <c r="J31" s="11">
        <f t="shared" si="3"/>
        <v>0</v>
      </c>
      <c r="K31" s="45">
        <v>150000</v>
      </c>
      <c r="L31" s="12">
        <f t="shared" si="4"/>
        <v>0.75</v>
      </c>
      <c r="M31" s="45">
        <f>35200+1319714</f>
        <v>1354914</v>
      </c>
      <c r="N31" s="49" t="s">
        <v>78</v>
      </c>
      <c r="O31" s="11">
        <f t="shared" si="5"/>
        <v>6.7745700000000006</v>
      </c>
      <c r="P31" s="10">
        <f t="shared" si="6"/>
        <v>18495086</v>
      </c>
      <c r="Q31" s="12">
        <f t="shared" si="7"/>
        <v>92.474999999999994</v>
      </c>
      <c r="R31" s="48">
        <f t="shared" si="9"/>
        <v>30</v>
      </c>
      <c r="S31" s="46">
        <v>8.4326880873900001E-2</v>
      </c>
      <c r="T31" s="10">
        <f t="shared" si="8"/>
        <v>1686538</v>
      </c>
      <c r="V31" s="13"/>
      <c r="W31" s="13"/>
    </row>
    <row r="32" spans="1:23" x14ac:dyDescent="0.3">
      <c r="A32" s="57">
        <f t="shared" si="0"/>
        <v>18</v>
      </c>
      <c r="B32" s="14">
        <v>7.85E-2</v>
      </c>
      <c r="C32" s="8" t="s">
        <v>79</v>
      </c>
      <c r="D32" s="60">
        <v>36775</v>
      </c>
      <c r="E32" s="61">
        <v>47727</v>
      </c>
      <c r="F32" s="9">
        <f t="shared" si="1"/>
        <v>11.92876712328767</v>
      </c>
      <c r="G32" s="45">
        <v>10000000</v>
      </c>
      <c r="H32" s="10">
        <f t="shared" si="2"/>
        <v>10000000</v>
      </c>
      <c r="I32" s="48">
        <v>0</v>
      </c>
      <c r="J32" s="11">
        <f t="shared" si="3"/>
        <v>0</v>
      </c>
      <c r="K32" s="45">
        <v>75000</v>
      </c>
      <c r="L32" s="12">
        <f t="shared" si="4"/>
        <v>0.75</v>
      </c>
      <c r="M32" s="45">
        <f>659857+18250</f>
        <v>678107</v>
      </c>
      <c r="N32" s="51" t="s">
        <v>80</v>
      </c>
      <c r="O32" s="11">
        <f t="shared" si="5"/>
        <v>6.7810699999999997</v>
      </c>
      <c r="P32" s="10">
        <f t="shared" si="6"/>
        <v>9246893</v>
      </c>
      <c r="Q32" s="12">
        <f t="shared" si="7"/>
        <v>92.468999999999994</v>
      </c>
      <c r="R32" s="48">
        <f t="shared" si="9"/>
        <v>30</v>
      </c>
      <c r="S32" s="46">
        <v>8.5510000000000003E-2</v>
      </c>
      <c r="T32" s="10">
        <f t="shared" si="8"/>
        <v>855100</v>
      </c>
      <c r="V32" s="13"/>
      <c r="W32" s="13"/>
    </row>
    <row r="33" spans="1:23" x14ac:dyDescent="0.3">
      <c r="A33" s="57">
        <f t="shared" si="0"/>
        <v>19</v>
      </c>
      <c r="B33" s="14">
        <v>5.8200000000000002E-2</v>
      </c>
      <c r="C33" s="8" t="s">
        <v>81</v>
      </c>
      <c r="D33" s="60">
        <v>37523</v>
      </c>
      <c r="E33" s="61">
        <v>48481</v>
      </c>
      <c r="F33" s="9">
        <f t="shared" si="1"/>
        <v>13.994520547945205</v>
      </c>
      <c r="G33" s="45">
        <v>30000000</v>
      </c>
      <c r="H33" s="10">
        <f t="shared" si="2"/>
        <v>30000000</v>
      </c>
      <c r="I33" s="48">
        <v>0</v>
      </c>
      <c r="J33" s="11">
        <f t="shared" si="3"/>
        <v>0</v>
      </c>
      <c r="K33" s="45">
        <v>225000</v>
      </c>
      <c r="L33" s="12">
        <f t="shared" si="4"/>
        <v>0.75</v>
      </c>
      <c r="M33" s="45">
        <f>106292.7+59088.95</f>
        <v>165381.65</v>
      </c>
      <c r="N33" s="45"/>
      <c r="O33" s="11">
        <f t="shared" si="5"/>
        <v>0.55127216666666667</v>
      </c>
      <c r="P33" s="10">
        <f t="shared" si="6"/>
        <v>29609618.350000001</v>
      </c>
      <c r="Q33" s="12">
        <f t="shared" si="7"/>
        <v>98.698999999999998</v>
      </c>
      <c r="R33" s="48">
        <f t="shared" si="9"/>
        <v>29</v>
      </c>
      <c r="S33" s="46">
        <v>5.913144E-2</v>
      </c>
      <c r="T33" s="10">
        <f t="shared" si="8"/>
        <v>1773943</v>
      </c>
      <c r="V33" s="13"/>
      <c r="W33" s="13"/>
    </row>
    <row r="34" spans="1:23" x14ac:dyDescent="0.3">
      <c r="A34" s="57">
        <f t="shared" si="0"/>
        <v>20</v>
      </c>
      <c r="B34" s="14">
        <v>5.6599999999999998E-2</v>
      </c>
      <c r="C34" s="8" t="s">
        <v>82</v>
      </c>
      <c r="D34" s="60">
        <v>37677</v>
      </c>
      <c r="E34" s="61">
        <v>48635</v>
      </c>
      <c r="F34" s="9">
        <f t="shared" si="1"/>
        <v>14.416438356164383</v>
      </c>
      <c r="G34" s="45">
        <v>40000000</v>
      </c>
      <c r="H34" s="10">
        <f t="shared" si="2"/>
        <v>40000000</v>
      </c>
      <c r="I34" s="48">
        <v>0</v>
      </c>
      <c r="J34" s="11">
        <f t="shared" si="3"/>
        <v>0</v>
      </c>
      <c r="K34" s="45">
        <v>300000</v>
      </c>
      <c r="L34" s="12">
        <f t="shared" si="4"/>
        <v>0.75</v>
      </c>
      <c r="M34" s="45">
        <v>56663</v>
      </c>
      <c r="N34" s="45"/>
      <c r="O34" s="11">
        <f t="shared" si="5"/>
        <v>0.14165749999999999</v>
      </c>
      <c r="P34" s="10">
        <f t="shared" si="6"/>
        <v>39643337</v>
      </c>
      <c r="Q34" s="12">
        <f t="shared" si="7"/>
        <v>99.108000000000004</v>
      </c>
      <c r="R34" s="48">
        <f t="shared" si="9"/>
        <v>30</v>
      </c>
      <c r="S34" s="46">
        <v>5.7230000000000003E-2</v>
      </c>
      <c r="T34" s="10">
        <f t="shared" si="8"/>
        <v>2289200</v>
      </c>
      <c r="V34" s="13"/>
      <c r="W34" s="13"/>
    </row>
    <row r="35" spans="1:23" x14ac:dyDescent="0.3">
      <c r="A35" s="57">
        <f t="shared" si="0"/>
        <v>21</v>
      </c>
      <c r="B35" s="14">
        <v>5.2499999999999998E-2</v>
      </c>
      <c r="C35" s="8" t="s">
        <v>83</v>
      </c>
      <c r="D35" s="60">
        <v>38524</v>
      </c>
      <c r="E35" s="61">
        <v>49481</v>
      </c>
      <c r="F35" s="9">
        <f t="shared" si="1"/>
        <v>16.734246575342464</v>
      </c>
      <c r="G35" s="45">
        <v>10000000</v>
      </c>
      <c r="H35" s="10">
        <f t="shared" si="2"/>
        <v>10000000</v>
      </c>
      <c r="I35" s="48">
        <v>0</v>
      </c>
      <c r="J35" s="11">
        <f t="shared" si="3"/>
        <v>0</v>
      </c>
      <c r="K35" s="45">
        <v>75000</v>
      </c>
      <c r="L35" s="12">
        <f t="shared" si="4"/>
        <v>0.75</v>
      </c>
      <c r="M35" s="45">
        <v>22974</v>
      </c>
      <c r="N35" s="45"/>
      <c r="O35" s="11">
        <f t="shared" si="5"/>
        <v>0.22973999999999997</v>
      </c>
      <c r="P35" s="10">
        <f t="shared" si="6"/>
        <v>9902026</v>
      </c>
      <c r="Q35" s="12">
        <f t="shared" si="7"/>
        <v>99.02</v>
      </c>
      <c r="R35" s="48">
        <f t="shared" si="9"/>
        <v>30</v>
      </c>
      <c r="S35" s="46">
        <v>5.3159999999999999E-2</v>
      </c>
      <c r="T35" s="10">
        <f t="shared" si="8"/>
        <v>531600</v>
      </c>
      <c r="V35" s="13"/>
      <c r="W35" s="13"/>
    </row>
    <row r="36" spans="1:23" x14ac:dyDescent="0.3">
      <c r="A36" s="57">
        <f t="shared" si="0"/>
        <v>22</v>
      </c>
      <c r="B36" s="14">
        <v>0.04</v>
      </c>
      <c r="C36" s="8" t="s">
        <v>84</v>
      </c>
      <c r="D36" s="60">
        <v>41212</v>
      </c>
      <c r="E36" s="61">
        <v>52170</v>
      </c>
      <c r="F36" s="9">
        <f t="shared" si="1"/>
        <v>24.101369863013698</v>
      </c>
      <c r="G36" s="45">
        <v>50000000</v>
      </c>
      <c r="H36" s="10">
        <f t="shared" si="2"/>
        <v>50000000</v>
      </c>
      <c r="I36" s="48">
        <v>0</v>
      </c>
      <c r="J36" s="11">
        <f t="shared" si="3"/>
        <v>0</v>
      </c>
      <c r="K36" s="45">
        <v>300000</v>
      </c>
      <c r="L36" s="12">
        <f t="shared" si="4"/>
        <v>0.6</v>
      </c>
      <c r="M36" s="45">
        <v>235478.5</v>
      </c>
      <c r="N36" s="45"/>
      <c r="O36" s="11">
        <f t="shared" si="5"/>
        <v>0.47095699999999996</v>
      </c>
      <c r="P36" s="10">
        <f t="shared" si="6"/>
        <v>49464521.5</v>
      </c>
      <c r="Q36" s="12">
        <f t="shared" si="7"/>
        <v>98.929000000000002</v>
      </c>
      <c r="R36" s="48">
        <f t="shared" si="9"/>
        <v>30</v>
      </c>
      <c r="S36" s="46">
        <v>4.0620000000000003E-2</v>
      </c>
      <c r="T36" s="10">
        <f t="shared" si="8"/>
        <v>2031000</v>
      </c>
      <c r="V36" s="13"/>
      <c r="W36" s="13"/>
    </row>
    <row r="37" spans="1:23" x14ac:dyDescent="0.3">
      <c r="A37" s="57">
        <f t="shared" si="0"/>
        <v>23</v>
      </c>
      <c r="B37" s="14">
        <v>4.1360000000000001E-2</v>
      </c>
      <c r="C37" s="8" t="s">
        <v>85</v>
      </c>
      <c r="D37" s="60">
        <v>42709</v>
      </c>
      <c r="E37" s="64" t="s">
        <v>86</v>
      </c>
      <c r="F37" s="9">
        <f t="shared" si="1"/>
        <v>28.2</v>
      </c>
      <c r="G37" s="10">
        <v>40000000</v>
      </c>
      <c r="H37" s="10">
        <f t="shared" si="2"/>
        <v>40000000</v>
      </c>
      <c r="I37" s="48">
        <v>0</v>
      </c>
      <c r="J37" s="11">
        <f t="shared" si="3"/>
        <v>0</v>
      </c>
      <c r="K37" s="10">
        <v>300000</v>
      </c>
      <c r="L37" s="12">
        <f t="shared" si="4"/>
        <v>0.75</v>
      </c>
      <c r="M37" s="47">
        <v>307711.80999999994</v>
      </c>
      <c r="N37" s="47"/>
      <c r="O37" s="11">
        <f t="shared" si="5"/>
        <v>0.76927952499999985</v>
      </c>
      <c r="P37" s="10">
        <f t="shared" si="6"/>
        <v>39392288.189999998</v>
      </c>
      <c r="Q37" s="12">
        <f t="shared" si="7"/>
        <v>98.480999999999995</v>
      </c>
      <c r="R37" s="48">
        <f t="shared" si="9"/>
        <v>30</v>
      </c>
      <c r="S37" s="46">
        <v>4.2259999999999999E-2</v>
      </c>
      <c r="T37" s="66">
        <f t="shared" si="8"/>
        <v>1690400</v>
      </c>
      <c r="V37" s="13"/>
      <c r="W37" s="13"/>
    </row>
    <row r="38" spans="1:23" x14ac:dyDescent="0.3">
      <c r="A38" s="57">
        <f t="shared" si="0"/>
        <v>24</v>
      </c>
      <c r="B38" s="14">
        <v>3.6850000000000001E-2</v>
      </c>
      <c r="C38" s="8" t="s">
        <v>87</v>
      </c>
      <c r="D38" s="60">
        <v>42991</v>
      </c>
      <c r="E38" s="64">
        <v>53948</v>
      </c>
      <c r="F38" s="9">
        <f t="shared" si="1"/>
        <v>28.972602739726028</v>
      </c>
      <c r="G38" s="10">
        <v>75000000</v>
      </c>
      <c r="H38" s="10">
        <f t="shared" si="2"/>
        <v>75000000</v>
      </c>
      <c r="I38" s="48">
        <v>0</v>
      </c>
      <c r="J38" s="11">
        <f t="shared" si="3"/>
        <v>0</v>
      </c>
      <c r="K38" s="10">
        <v>562500</v>
      </c>
      <c r="L38" s="12">
        <f t="shared" si="4"/>
        <v>0.75</v>
      </c>
      <c r="M38" s="47">
        <v>367946.3</v>
      </c>
      <c r="N38" s="47"/>
      <c r="O38" s="11">
        <f t="shared" si="5"/>
        <v>0.49059506666666663</v>
      </c>
      <c r="P38" s="10">
        <f t="shared" si="6"/>
        <v>74069553.700000003</v>
      </c>
      <c r="Q38" s="12">
        <f t="shared" si="7"/>
        <v>98.759</v>
      </c>
      <c r="R38" s="48">
        <f t="shared" si="9"/>
        <v>30</v>
      </c>
      <c r="S38" s="46">
        <v>3.7539999999999997E-2</v>
      </c>
      <c r="T38" s="10">
        <f t="shared" si="8"/>
        <v>2815500</v>
      </c>
      <c r="V38" s="13"/>
      <c r="W38" s="13"/>
    </row>
    <row r="39" spans="1:23" x14ac:dyDescent="0.3">
      <c r="A39" s="57">
        <f t="shared" si="0"/>
        <v>25</v>
      </c>
      <c r="B39" s="15">
        <v>4.1100000000000005E-2</v>
      </c>
      <c r="C39" s="8" t="s">
        <v>88</v>
      </c>
      <c r="D39" s="60">
        <v>43353</v>
      </c>
      <c r="E39" s="64">
        <v>54311</v>
      </c>
      <c r="F39" s="16">
        <f t="shared" si="1"/>
        <v>29.967123287671232</v>
      </c>
      <c r="G39" s="45">
        <v>50000000</v>
      </c>
      <c r="H39" s="10">
        <f t="shared" si="2"/>
        <v>50000000</v>
      </c>
      <c r="I39" s="48">
        <v>0</v>
      </c>
      <c r="J39" s="11">
        <f t="shared" si="3"/>
        <v>0</v>
      </c>
      <c r="K39" s="10">
        <v>125000</v>
      </c>
      <c r="L39" s="12">
        <f t="shared" si="4"/>
        <v>0.25</v>
      </c>
      <c r="M39" s="47">
        <v>214639.44999999995</v>
      </c>
      <c r="N39" s="65"/>
      <c r="O39" s="11">
        <f t="shared" si="5"/>
        <v>0.42927889999999991</v>
      </c>
      <c r="P39" s="10">
        <f t="shared" si="6"/>
        <v>49660360.549999997</v>
      </c>
      <c r="Q39" s="12">
        <f t="shared" si="7"/>
        <v>99.320999999999998</v>
      </c>
      <c r="R39" s="48">
        <f t="shared" si="9"/>
        <v>30</v>
      </c>
      <c r="S39" s="46">
        <v>4.1500000000000002E-2</v>
      </c>
      <c r="T39" s="10">
        <f t="shared" si="8"/>
        <v>2075000</v>
      </c>
      <c r="V39" s="13"/>
      <c r="W39" s="13"/>
    </row>
    <row r="40" spans="1:23" ht="15" thickBot="1" x14ac:dyDescent="0.35">
      <c r="A40" s="8"/>
      <c r="B40" s="8"/>
      <c r="C40" s="17"/>
      <c r="D40" s="23"/>
      <c r="E40" s="23"/>
      <c r="F40" s="23"/>
      <c r="G40" s="18">
        <f>SUM(G15:G39)</f>
        <v>814700000</v>
      </c>
      <c r="H40" s="18">
        <f>SUM(H15:H39)</f>
        <v>814700000</v>
      </c>
      <c r="I40" s="53">
        <f>SUM(I15:I39)</f>
        <v>0</v>
      </c>
      <c r="J40" s="19"/>
      <c r="K40" s="18">
        <f>SUM(K15:K39)</f>
        <v>5062588</v>
      </c>
      <c r="L40" s="19"/>
      <c r="M40" s="18">
        <f>SUM(M15:M39)</f>
        <v>20724994.279999997</v>
      </c>
      <c r="N40" s="20"/>
      <c r="O40" s="19"/>
      <c r="P40" s="18">
        <f>SUM(P15:P39)</f>
        <v>788912417.72000003</v>
      </c>
      <c r="Q40" s="19"/>
      <c r="R40" s="23"/>
      <c r="S40" s="35">
        <f>T40/G40</f>
        <v>5.0659051184485084E-2</v>
      </c>
      <c r="T40" s="18">
        <f>SUM(T15:T39)</f>
        <v>41271929</v>
      </c>
    </row>
    <row r="41" spans="1:23" ht="15" thickTop="1" x14ac:dyDescent="0.3">
      <c r="A41" s="31"/>
      <c r="B41" s="31"/>
      <c r="C41" s="36"/>
      <c r="D41" s="21"/>
      <c r="E41" s="21"/>
      <c r="F41" s="21"/>
      <c r="G41" s="36"/>
      <c r="H41" s="36"/>
      <c r="I41" s="21"/>
      <c r="J41" s="36"/>
      <c r="K41" s="36"/>
      <c r="L41" s="36"/>
      <c r="M41" s="36"/>
      <c r="N41" s="36"/>
      <c r="O41" s="36"/>
      <c r="P41" s="36"/>
      <c r="Q41" s="36"/>
      <c r="R41" s="36" t="s">
        <v>89</v>
      </c>
      <c r="S41" s="37">
        <f>SUM(T15:T38)/SUM(G15:G38)</f>
        <v>5.1257916830129466E-2</v>
      </c>
      <c r="T41" s="36"/>
    </row>
    <row r="42" spans="1:23" x14ac:dyDescent="0.3">
      <c r="A42" s="38" t="s">
        <v>90</v>
      </c>
      <c r="B42" s="38"/>
      <c r="C42" s="39"/>
      <c r="D42" s="22"/>
      <c r="E42" s="22"/>
      <c r="F42" s="22"/>
      <c r="G42" s="40">
        <f>SUM(T40)</f>
        <v>41271929</v>
      </c>
      <c r="H42" s="40">
        <f>G40</f>
        <v>814700000</v>
      </c>
      <c r="I42" s="22" t="s">
        <v>91</v>
      </c>
      <c r="J42" s="41">
        <f>S40</f>
        <v>5.0659051184485084E-2</v>
      </c>
      <c r="K42" s="42"/>
      <c r="L42" s="43"/>
      <c r="M42" s="43"/>
      <c r="N42" s="43"/>
      <c r="O42" s="43"/>
      <c r="P42" s="43"/>
      <c r="Q42" s="43"/>
      <c r="R42" s="43"/>
      <c r="S42" s="43"/>
      <c r="T42" s="43"/>
    </row>
    <row r="43" spans="1:23" ht="12" customHeight="1" x14ac:dyDescent="0.3">
      <c r="A43" s="68" t="s">
        <v>92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3" ht="12" customHeight="1" x14ac:dyDescent="0.3">
      <c r="A44" s="68" t="s">
        <v>93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3" ht="12" customHeight="1" x14ac:dyDescent="0.3">
      <c r="A45" s="68" t="s">
        <v>94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3" ht="12" customHeight="1" x14ac:dyDescent="0.3">
      <c r="A46" s="68" t="s">
        <v>95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3" ht="12" customHeight="1" x14ac:dyDescent="0.3">
      <c r="A47" s="68" t="s">
        <v>96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3" ht="25.2" customHeight="1" x14ac:dyDescent="0.3">
      <c r="A48" s="68" t="s">
        <v>97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x14ac:dyDescent="0.3">
      <c r="A49" s="68" t="s">
        <v>98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x14ac:dyDescent="0.3">
      <c r="A50" s="68" t="s">
        <v>99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</sheetData>
  <mergeCells count="12">
    <mergeCell ref="A50:T50"/>
    <mergeCell ref="G1:K1"/>
    <mergeCell ref="G2:K2"/>
    <mergeCell ref="G3:K3"/>
    <mergeCell ref="V8:W8"/>
    <mergeCell ref="A43:T43"/>
    <mergeCell ref="A44:T44"/>
    <mergeCell ref="A45:T45"/>
    <mergeCell ref="A46:T46"/>
    <mergeCell ref="A47:T47"/>
    <mergeCell ref="A48:T48"/>
    <mergeCell ref="A49:T49"/>
  </mergeCells>
  <pageMargins left="0.7" right="0.7" top="0.75" bottom="0.75" header="0.3" footer="0.3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2861FD3-48F1-42E0-B898-5D8339096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84020-6B8C-47A1-A63F-2879580E5CB6}"/>
</file>

<file path=customXml/itemProps3.xml><?xml version="1.0" encoding="utf-8"?>
<ds:datastoreItem xmlns:ds="http://schemas.openxmlformats.org/officeDocument/2006/customXml" ds:itemID="{11FD1B7A-2900-4CC9-9E83-0071DC793CF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8CDD987-A2E2-44B6-9051-6C681ACC1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Lee, Erica N</cp:lastModifiedBy>
  <cp:lastPrinted>2018-12-20T01:04:02Z</cp:lastPrinted>
  <dcterms:created xsi:type="dcterms:W3CDTF">2018-11-05T22:50:10Z</dcterms:created>
  <dcterms:modified xsi:type="dcterms:W3CDTF">2019-02-20T22:57:31Z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