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Lead E" sheetId="1" r:id="rId1"/>
    <sheet name="Lead G" sheetId="4" r:id="rId2"/>
    <sheet name="SAP 62100150" sheetId="2" r:id="rId3"/>
    <sheet name="92306147" sheetId="5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31" i="2" l="1"/>
  <c r="C31" i="2"/>
  <c r="B30" i="2" l="1"/>
  <c r="B26" i="2"/>
  <c r="B25" i="2"/>
  <c r="B22" i="2"/>
  <c r="C5" i="5" l="1"/>
  <c r="A6" i="4" l="1"/>
  <c r="D21" i="4"/>
  <c r="B23" i="2" l="1"/>
  <c r="B13" i="4" l="1"/>
  <c r="D15" i="1" l="1"/>
  <c r="B32" i="2" l="1"/>
  <c r="C13" i="1" l="1"/>
  <c r="E13" i="1" s="1"/>
  <c r="D18" i="4"/>
  <c r="E17" i="4"/>
  <c r="E15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13" i="1"/>
  <c r="A14" i="1" s="1"/>
  <c r="A15" i="1" s="1"/>
  <c r="A16" i="1" s="1"/>
  <c r="A17" i="1" s="1"/>
  <c r="A18" i="1" s="1"/>
  <c r="A19" i="1" s="1"/>
  <c r="A20" i="1" s="1"/>
  <c r="C32" i="2" l="1"/>
  <c r="B33" i="2" l="1"/>
  <c r="C14" i="1"/>
  <c r="D32" i="2"/>
  <c r="C13" i="4" l="1"/>
  <c r="B34" i="2"/>
  <c r="C15" i="1"/>
  <c r="E14" i="1"/>
  <c r="E15" i="1" s="1"/>
  <c r="E17" i="1" s="1"/>
  <c r="E18" i="1" s="1"/>
  <c r="E20" i="1" s="1"/>
  <c r="E13" i="4" l="1"/>
  <c r="E18" i="4" s="1"/>
  <c r="E20" i="4" s="1"/>
  <c r="E21" i="4" s="1"/>
  <c r="E23" i="4" s="1"/>
  <c r="C18" i="4"/>
</calcChain>
</file>

<file path=xl/sharedStrings.xml><?xml version="1.0" encoding="utf-8"?>
<sst xmlns="http://schemas.openxmlformats.org/spreadsheetml/2006/main" count="70" uniqueCount="54">
  <si>
    <t>PUGET SOUND ENERGY</t>
  </si>
  <si>
    <t>MISCELLANEOUS OPERATING EXPENSE - ELECTRIC</t>
  </si>
  <si>
    <t>LINE</t>
  </si>
  <si>
    <t>NO.</t>
  </si>
  <si>
    <t>DESCRIPTION</t>
  </si>
  <si>
    <t>ACTUAL</t>
  </si>
  <si>
    <t>RESTATED</t>
  </si>
  <si>
    <t>ADJUSTMENT</t>
  </si>
  <si>
    <t>OPERATING EXPENSES</t>
  </si>
  <si>
    <t>INCREASE(DECREASE ) IN EXPENSE</t>
  </si>
  <si>
    <t>TOTAL INCREASE(DECREASE) IN EXPENSE</t>
  </si>
  <si>
    <t>INCREASE (DECREASE) NOI</t>
  </si>
  <si>
    <t>COMMISSION BASIS REPORT</t>
  </si>
  <si>
    <t>MISCELLANEOUS OPERATING EXPENSE - GAS</t>
  </si>
  <si>
    <t xml:space="preserve">  ZO12                      Orders: Actual 12 Month Ended</t>
  </si>
  <si>
    <t xml:space="preserve">  Pages:                      0</t>
  </si>
  <si>
    <t>Orders</t>
  </si>
  <si>
    <t>12 Months</t>
  </si>
  <si>
    <t>42610028   1010-Corporate Contributions</t>
  </si>
  <si>
    <t>42610074   5021-Donations-Goldendale Comm Relations</t>
  </si>
  <si>
    <t>42610075   5025-Donations-Mint Farm Comm Relations</t>
  </si>
  <si>
    <t>42610077   5025 -Donations -Mint Farm Miscellaneous</t>
  </si>
  <si>
    <t>42640073   1453 - Political Contributions</t>
  </si>
  <si>
    <t>42640515   1400 - Civic/Political Activities - Comm</t>
  </si>
  <si>
    <t>42651640   1454-BTL Dir. Gov Civic/Political</t>
  </si>
  <si>
    <t>92009121   1239-General &amp; Administrative-A-920</t>
  </si>
  <si>
    <t>93020677   1900 - Board Related Expenses - Common</t>
  </si>
  <si>
    <t>548006484  S-SMS PLANT OPERATIONS</t>
  </si>
  <si>
    <t>Debit</t>
  </si>
  <si>
    <t>Over/underabsorption</t>
  </si>
  <si>
    <t>Cost Element</t>
  </si>
  <si>
    <t>Total BTL</t>
  </si>
  <si>
    <t>Total ATL</t>
  </si>
  <si>
    <t>Electric</t>
  </si>
  <si>
    <t>Total Common</t>
  </si>
  <si>
    <t>Total Electric</t>
  </si>
  <si>
    <t>Total Gas</t>
  </si>
  <si>
    <t>Common Allocated to</t>
  </si>
  <si>
    <t>Gas</t>
  </si>
  <si>
    <t>Total</t>
  </si>
  <si>
    <t>REMOVE NON-OPERATING COSTS FROM ADMIN AND GENERAL EXPENSES</t>
  </si>
  <si>
    <t>REMOVE NON-OPERATING COSTS FROM OTHER ENERGY SUPPLY EXPENSE</t>
  </si>
  <si>
    <t>Order</t>
  </si>
  <si>
    <t>92306147</t>
  </si>
  <si>
    <t>Order Description</t>
  </si>
  <si>
    <t>Amount</t>
  </si>
  <si>
    <t xml:space="preserve">INCREASE (DECREASE) FIT @ 28% </t>
  </si>
  <si>
    <t>18600818   Puget Energy, Inc G&amp;A Costs - Comm</t>
  </si>
  <si>
    <t>18600887   CLSD - Puget Holdings LLC costs</t>
  </si>
  <si>
    <t>537009107  S-UBK COMMUNITY INVOLVEMENT / TOURS</t>
  </si>
  <si>
    <t>FOR TWELVE MONTHS ENDED JUNE 30, 2018</t>
  </si>
  <si>
    <t xml:space="preserve">  Date:                     08/09/2018</t>
  </si>
  <si>
    <t>CLSD - PSE LNG  O&amp;M-Corp Comm - Ext</t>
  </si>
  <si>
    <t>CLSD - PSE LNG  O&amp;M-Gov Affairs-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</si>
</sst>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>
      <alignment horizontal="left" wrapText="1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/>
    <xf numFmtId="1" fontId="3" fillId="0" borderId="0" xfId="3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/>
    <xf numFmtId="0" fontId="3" fillId="0" borderId="0" xfId="0" applyFont="1" applyFill="1" applyAlignment="1">
      <alignment horizontal="left" wrapText="1"/>
    </xf>
    <xf numFmtId="42" fontId="3" fillId="0" borderId="0" xfId="0" applyNumberFormat="1" applyFont="1" applyFill="1"/>
    <xf numFmtId="41" fontId="3" fillId="0" borderId="0" xfId="1" applyNumberFormat="1" applyFont="1" applyFill="1" applyAlignment="1">
      <alignment wrapText="1"/>
    </xf>
    <xf numFmtId="165" fontId="3" fillId="0" borderId="0" xfId="1" applyNumberFormat="1" applyFont="1" applyFill="1" applyBorder="1"/>
    <xf numFmtId="0" fontId="0" fillId="0" borderId="0" xfId="0" applyFill="1"/>
    <xf numFmtId="41" fontId="3" fillId="0" borderId="1" xfId="1" applyNumberFormat="1" applyFont="1" applyFill="1" applyBorder="1" applyAlignment="1">
      <alignment wrapText="1"/>
    </xf>
    <xf numFmtId="165" fontId="3" fillId="0" borderId="1" xfId="1" applyNumberFormat="1" applyFont="1" applyFill="1" applyBorder="1"/>
    <xf numFmtId="0" fontId="3" fillId="0" borderId="0" xfId="0" applyFont="1" applyFill="1" applyAlignment="1">
      <alignment horizontal="left"/>
    </xf>
    <xf numFmtId="42" fontId="2" fillId="0" borderId="0" xfId="0" applyNumberFormat="1" applyFont="1"/>
    <xf numFmtId="42" fontId="2" fillId="0" borderId="0" xfId="0" applyNumberFormat="1" applyFont="1" applyFill="1"/>
    <xf numFmtId="0" fontId="6" fillId="0" borderId="0" xfId="0" applyFont="1" applyFill="1"/>
    <xf numFmtId="0" fontId="3" fillId="0" borderId="0" xfId="0" quotePrefix="1" applyFont="1" applyFill="1" applyAlignment="1">
      <alignment horizontal="left"/>
    </xf>
    <xf numFmtId="166" fontId="3" fillId="0" borderId="0" xfId="2" applyNumberFormat="1" applyFont="1" applyFill="1" applyBorder="1"/>
    <xf numFmtId="37" fontId="3" fillId="0" borderId="0" xfId="2" applyNumberFormat="1" applyFont="1" applyFill="1" applyBorder="1"/>
    <xf numFmtId="37" fontId="3" fillId="0" borderId="0" xfId="0" applyNumberFormat="1" applyFont="1" applyFill="1"/>
    <xf numFmtId="10" fontId="3" fillId="0" borderId="0" xfId="1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Border="1"/>
    <xf numFmtId="42" fontId="2" fillId="0" borderId="2" xfId="0" applyNumberFormat="1" applyFont="1" applyFill="1" applyBorder="1"/>
    <xf numFmtId="167" fontId="3" fillId="0" borderId="0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42" fontId="3" fillId="0" borderId="1" xfId="0" applyNumberFormat="1" applyFont="1" applyFill="1" applyBorder="1"/>
    <xf numFmtId="17" fontId="0" fillId="0" borderId="0" xfId="0" applyNumberFormat="1" applyFill="1"/>
    <xf numFmtId="165" fontId="0" fillId="0" borderId="0" xfId="1" applyNumberFormat="1" applyFont="1" applyFill="1"/>
    <xf numFmtId="165" fontId="0" fillId="0" borderId="0" xfId="0" applyNumberFormat="1" applyFill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10" fontId="0" fillId="0" borderId="12" xfId="0" applyNumberFormat="1" applyFill="1" applyBorder="1"/>
    <xf numFmtId="165" fontId="0" fillId="0" borderId="12" xfId="0" applyNumberFormat="1" applyFill="1" applyBorder="1"/>
    <xf numFmtId="43" fontId="0" fillId="0" borderId="12" xfId="0" applyNumberFormat="1" applyFill="1" applyBorder="1"/>
    <xf numFmtId="44" fontId="0" fillId="0" borderId="0" xfId="2" applyFont="1"/>
    <xf numFmtId="44" fontId="0" fillId="0" borderId="0" xfId="0" applyNumberFormat="1"/>
    <xf numFmtId="49" fontId="0" fillId="0" borderId="12" xfId="0" applyNumberFormat="1" applyFill="1" applyBorder="1"/>
    <xf numFmtId="44" fontId="0" fillId="0" borderId="12" xfId="2" applyFont="1" applyFill="1" applyBorder="1"/>
    <xf numFmtId="0" fontId="23" fillId="0" borderId="12" xfId="0" applyFont="1" applyFill="1" applyBorder="1"/>
    <xf numFmtId="0" fontId="21" fillId="0" borderId="12" xfId="0" applyFont="1" applyFill="1" applyBorder="1"/>
    <xf numFmtId="0" fontId="0" fillId="0" borderId="0" xfId="0"/>
    <xf numFmtId="43" fontId="0" fillId="0" borderId="0" xfId="1" applyFont="1"/>
    <xf numFmtId="0" fontId="0" fillId="0" borderId="0" xfId="0"/>
    <xf numFmtId="43" fontId="0" fillId="0" borderId="0" xfId="1" applyFon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Style 1" xfId="3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35">
          <cell r="E35">
            <v>0.65449999999999997</v>
          </cell>
          <cell r="F35">
            <v>0.34549999999999997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tabSelected="1" workbookViewId="0"/>
  </sheetViews>
  <sheetFormatPr defaultRowHeight="15" x14ac:dyDescent="0.25"/>
  <cols>
    <col min="1" max="1" width="5.42578125" bestFit="1" customWidth="1"/>
    <col min="2" max="2" width="65.140625" bestFit="1" customWidth="1"/>
    <col min="4" max="4" width="11.140625" customWidth="1"/>
    <col min="5" max="5" width="12.28515625" customWidth="1"/>
  </cols>
  <sheetData>
    <row r="4" spans="1:5" x14ac:dyDescent="0.25">
      <c r="A4" s="55" t="s">
        <v>0</v>
      </c>
      <c r="B4" s="55"/>
      <c r="C4" s="55"/>
      <c r="D4" s="55"/>
      <c r="E4" s="55"/>
    </row>
    <row r="5" spans="1:5" x14ac:dyDescent="0.25">
      <c r="A5" s="56" t="s">
        <v>1</v>
      </c>
      <c r="B5" s="56"/>
      <c r="C5" s="56"/>
      <c r="D5" s="56"/>
      <c r="E5" s="56"/>
    </row>
    <row r="6" spans="1:5" x14ac:dyDescent="0.25">
      <c r="A6" s="56" t="s">
        <v>50</v>
      </c>
      <c r="B6" s="56"/>
      <c r="C6" s="56"/>
      <c r="D6" s="56"/>
      <c r="E6" s="56"/>
    </row>
    <row r="7" spans="1:5" x14ac:dyDescent="0.25">
      <c r="A7" s="57" t="s">
        <v>12</v>
      </c>
      <c r="B7" s="57"/>
      <c r="C7" s="57"/>
      <c r="D7" s="57"/>
      <c r="E7" s="57"/>
    </row>
    <row r="8" spans="1:5" x14ac:dyDescent="0.25">
      <c r="A8" s="1"/>
      <c r="B8" s="2"/>
      <c r="C8" s="3"/>
      <c r="D8" s="1"/>
      <c r="E8" s="1"/>
    </row>
    <row r="9" spans="1:5" x14ac:dyDescent="0.25">
      <c r="A9" s="4" t="s">
        <v>2</v>
      </c>
      <c r="B9" s="1"/>
      <c r="C9" s="5"/>
      <c r="D9" s="6"/>
      <c r="E9" s="7"/>
    </row>
    <row r="10" spans="1:5" x14ac:dyDescent="0.25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 x14ac:dyDescent="0.25">
      <c r="A11" s="10"/>
      <c r="B11" s="2"/>
      <c r="C11" s="10"/>
      <c r="D11" s="10"/>
      <c r="E11" s="10"/>
    </row>
    <row r="12" spans="1:5" x14ac:dyDescent="0.25">
      <c r="A12" s="11">
        <v>1</v>
      </c>
      <c r="B12" s="12" t="s">
        <v>8</v>
      </c>
      <c r="C12" s="13"/>
      <c r="D12" s="13"/>
      <c r="E12" s="13"/>
    </row>
    <row r="13" spans="1:5" x14ac:dyDescent="0.25">
      <c r="A13" s="11">
        <f>A12+1</f>
        <v>2</v>
      </c>
      <c r="B13" s="21" t="s">
        <v>41</v>
      </c>
      <c r="C13" s="15">
        <f>'SAP 62100150'!B30</f>
        <v>3200</v>
      </c>
      <c r="D13" s="16"/>
      <c r="E13" s="15">
        <f>D13-C13</f>
        <v>-3200</v>
      </c>
    </row>
    <row r="14" spans="1:5" x14ac:dyDescent="0.25">
      <c r="A14" s="11">
        <f>A13+1</f>
        <v>3</v>
      </c>
      <c r="B14" s="21" t="s">
        <v>40</v>
      </c>
      <c r="C14" s="36">
        <f>'SAP 62100150'!C32</f>
        <v>455.23747499999996</v>
      </c>
      <c r="D14" s="19"/>
      <c r="E14" s="36">
        <f>D14-C14</f>
        <v>-455.23747499999996</v>
      </c>
    </row>
    <row r="15" spans="1:5" x14ac:dyDescent="0.25">
      <c r="A15" s="11">
        <f t="shared" ref="A15:A20" si="0">A14+1</f>
        <v>4</v>
      </c>
      <c r="B15" s="21" t="s">
        <v>9</v>
      </c>
      <c r="C15" s="22">
        <f>SUM(C13:C14)</f>
        <v>3655.2374749999999</v>
      </c>
      <c r="D15" s="22">
        <f t="shared" ref="D15:E15" si="1">SUM(D13:D14)</f>
        <v>0</v>
      </c>
      <c r="E15" s="22">
        <f t="shared" si="1"/>
        <v>-3655.2374749999999</v>
      </c>
    </row>
    <row r="16" spans="1:5" x14ac:dyDescent="0.25">
      <c r="A16" s="11">
        <f t="shared" si="0"/>
        <v>5</v>
      </c>
      <c r="E16" s="24"/>
    </row>
    <row r="17" spans="1:5" x14ac:dyDescent="0.25">
      <c r="A17" s="11">
        <f t="shared" si="0"/>
        <v>6</v>
      </c>
      <c r="B17" s="25" t="s">
        <v>10</v>
      </c>
      <c r="C17" s="26"/>
      <c r="D17" s="17"/>
      <c r="E17" s="27">
        <f>E15</f>
        <v>-3655.2374749999999</v>
      </c>
    </row>
    <row r="18" spans="1:5" x14ac:dyDescent="0.25">
      <c r="A18" s="11">
        <f t="shared" si="0"/>
        <v>7</v>
      </c>
      <c r="B18" s="28" t="s">
        <v>46</v>
      </c>
      <c r="C18" s="28"/>
      <c r="D18" s="29">
        <v>0.28000000000000003</v>
      </c>
      <c r="E18" s="28">
        <f>E17*-D18</f>
        <v>1023.466493</v>
      </c>
    </row>
    <row r="19" spans="1:5" x14ac:dyDescent="0.25">
      <c r="A19" s="11">
        <f t="shared" si="0"/>
        <v>8</v>
      </c>
    </row>
    <row r="20" spans="1:5" x14ac:dyDescent="0.25">
      <c r="A20" s="11">
        <f t="shared" si="0"/>
        <v>9</v>
      </c>
      <c r="B20" s="30" t="s">
        <v>11</v>
      </c>
      <c r="C20" s="31"/>
      <c r="D20" s="32"/>
      <c r="E20" s="33">
        <f>-E17-E18</f>
        <v>2631.770982</v>
      </c>
    </row>
    <row r="21" spans="1:5" x14ac:dyDescent="0.25">
      <c r="A21" s="11"/>
      <c r="B21" s="21"/>
      <c r="D21" s="34"/>
      <c r="E21" s="34"/>
    </row>
    <row r="22" spans="1:5" x14ac:dyDescent="0.25">
      <c r="A22" s="11"/>
    </row>
    <row r="23" spans="1:5" x14ac:dyDescent="0.25">
      <c r="A23" s="11"/>
    </row>
    <row r="24" spans="1:5" x14ac:dyDescent="0.25">
      <c r="A24" s="11"/>
    </row>
  </sheetData>
  <mergeCells count="4">
    <mergeCell ref="A4:E4"/>
    <mergeCell ref="A5:E5"/>
    <mergeCell ref="A6:E6"/>
    <mergeCell ref="A7:E7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workbookViewId="0">
      <selection activeCell="C13" sqref="C13"/>
    </sheetView>
  </sheetViews>
  <sheetFormatPr defaultRowHeight="15" x14ac:dyDescent="0.25"/>
  <cols>
    <col min="2" max="2" width="83.42578125" customWidth="1"/>
    <col min="3" max="3" width="16.5703125" customWidth="1"/>
    <col min="5" max="5" width="12.28515625" customWidth="1"/>
  </cols>
  <sheetData>
    <row r="4" spans="1:5" x14ac:dyDescent="0.25">
      <c r="A4" s="55" t="s">
        <v>0</v>
      </c>
      <c r="B4" s="55"/>
      <c r="C4" s="55"/>
      <c r="D4" s="55"/>
      <c r="E4" s="55"/>
    </row>
    <row r="5" spans="1:5" x14ac:dyDescent="0.25">
      <c r="A5" s="56" t="s">
        <v>13</v>
      </c>
      <c r="B5" s="56"/>
      <c r="C5" s="56"/>
      <c r="D5" s="56"/>
      <c r="E5" s="56"/>
    </row>
    <row r="6" spans="1:5" x14ac:dyDescent="0.25">
      <c r="A6" s="56" t="str">
        <f>'Lead E'!A6:E6</f>
        <v>FOR TWELVE MONTHS ENDED JUNE 30, 2018</v>
      </c>
      <c r="B6" s="56"/>
      <c r="C6" s="56"/>
      <c r="D6" s="56"/>
      <c r="E6" s="56"/>
    </row>
    <row r="7" spans="1:5" x14ac:dyDescent="0.25">
      <c r="A7" s="57" t="s">
        <v>12</v>
      </c>
      <c r="B7" s="57"/>
      <c r="C7" s="57"/>
      <c r="D7" s="57"/>
      <c r="E7" s="57"/>
    </row>
    <row r="8" spans="1:5" x14ac:dyDescent="0.25">
      <c r="A8" s="1"/>
      <c r="B8" s="2"/>
      <c r="C8" s="3"/>
      <c r="D8" s="1"/>
      <c r="E8" s="1"/>
    </row>
    <row r="9" spans="1:5" x14ac:dyDescent="0.25">
      <c r="A9" s="4" t="s">
        <v>2</v>
      </c>
      <c r="B9" s="1"/>
      <c r="C9" s="5"/>
      <c r="D9" s="6"/>
      <c r="E9" s="7"/>
    </row>
    <row r="10" spans="1:5" x14ac:dyDescent="0.25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 x14ac:dyDescent="0.25">
      <c r="A11" s="10"/>
      <c r="B11" s="2"/>
      <c r="C11" s="10"/>
      <c r="D11" s="10"/>
      <c r="E11" s="10"/>
    </row>
    <row r="12" spans="1:5" x14ac:dyDescent="0.25">
      <c r="A12" s="11">
        <v>1</v>
      </c>
      <c r="B12" s="12" t="s">
        <v>8</v>
      </c>
      <c r="C12" s="13"/>
      <c r="D12" s="13"/>
      <c r="E12" s="13"/>
    </row>
    <row r="13" spans="1:5" x14ac:dyDescent="0.25">
      <c r="A13" s="11">
        <f>A12+1</f>
        <v>2</v>
      </c>
      <c r="B13" s="14" t="str">
        <f>'Lead E'!B14</f>
        <v>REMOVE NON-OPERATING COSTS FROM ADMIN AND GENERAL EXPENSES</v>
      </c>
      <c r="C13" s="15">
        <f>'SAP 62100150'!D32+'92306147'!C5</f>
        <v>513041.81252500002</v>
      </c>
      <c r="D13" s="16"/>
      <c r="E13" s="15">
        <f>D13-C13</f>
        <v>-513041.81252500002</v>
      </c>
    </row>
    <row r="14" spans="1:5" x14ac:dyDescent="0.25">
      <c r="A14" s="11">
        <f>A13+1</f>
        <v>3</v>
      </c>
      <c r="B14" s="14"/>
      <c r="C14" s="15"/>
      <c r="D14" s="16"/>
      <c r="E14" s="15"/>
    </row>
    <row r="15" spans="1:5" x14ac:dyDescent="0.25">
      <c r="A15" s="11">
        <f t="shared" ref="A15:A23" si="0">A14+1</f>
        <v>4</v>
      </c>
      <c r="B15" s="14"/>
      <c r="C15" s="17"/>
      <c r="D15" s="17"/>
      <c r="E15" s="17">
        <f>D15-C15</f>
        <v>0</v>
      </c>
    </row>
    <row r="16" spans="1:5" x14ac:dyDescent="0.25">
      <c r="A16" s="11">
        <f t="shared" si="0"/>
        <v>5</v>
      </c>
      <c r="B16" s="14"/>
      <c r="C16" s="18"/>
      <c r="D16" s="18"/>
      <c r="E16" s="18"/>
    </row>
    <row r="17" spans="1:5" x14ac:dyDescent="0.25">
      <c r="A17" s="11">
        <f t="shared" si="0"/>
        <v>6</v>
      </c>
      <c r="B17" s="35"/>
      <c r="C17" s="19"/>
      <c r="D17" s="20"/>
      <c r="E17" s="20">
        <f>D17-C17</f>
        <v>0</v>
      </c>
    </row>
    <row r="18" spans="1:5" x14ac:dyDescent="0.25">
      <c r="A18" s="11">
        <f t="shared" si="0"/>
        <v>7</v>
      </c>
      <c r="B18" s="21" t="s">
        <v>9</v>
      </c>
      <c r="C18" s="22">
        <f>SUM(C13:C17)</f>
        <v>513041.81252500002</v>
      </c>
      <c r="D18" s="22">
        <f>SUM(D13:D17)</f>
        <v>0</v>
      </c>
      <c r="E18" s="23">
        <f>SUM(E13:E17)</f>
        <v>-513041.81252500002</v>
      </c>
    </row>
    <row r="19" spans="1:5" x14ac:dyDescent="0.25">
      <c r="A19" s="11">
        <f t="shared" si="0"/>
        <v>8</v>
      </c>
      <c r="E19" s="24"/>
    </row>
    <row r="20" spans="1:5" x14ac:dyDescent="0.25">
      <c r="A20" s="11">
        <f t="shared" si="0"/>
        <v>9</v>
      </c>
      <c r="B20" s="25" t="s">
        <v>10</v>
      </c>
      <c r="C20" s="26"/>
      <c r="D20" s="17"/>
      <c r="E20" s="27">
        <f>E18</f>
        <v>-513041.81252500002</v>
      </c>
    </row>
    <row r="21" spans="1:5" x14ac:dyDescent="0.25">
      <c r="A21" s="11">
        <f t="shared" si="0"/>
        <v>10</v>
      </c>
      <c r="B21" s="28" t="s">
        <v>46</v>
      </c>
      <c r="C21" s="28"/>
      <c r="D21" s="29">
        <f>'Lead E'!D18</f>
        <v>0.28000000000000003</v>
      </c>
      <c r="E21" s="28">
        <f>E20*-D21</f>
        <v>143651.70750700001</v>
      </c>
    </row>
    <row r="22" spans="1:5" x14ac:dyDescent="0.25">
      <c r="A22" s="11">
        <f t="shared" si="0"/>
        <v>11</v>
      </c>
    </row>
    <row r="23" spans="1:5" x14ac:dyDescent="0.25">
      <c r="A23" s="11">
        <f t="shared" si="0"/>
        <v>12</v>
      </c>
      <c r="B23" s="30" t="s">
        <v>11</v>
      </c>
      <c r="C23" s="31"/>
      <c r="D23" s="32"/>
      <c r="E23" s="33">
        <f>-E20-E21</f>
        <v>369390.105018</v>
      </c>
    </row>
    <row r="24" spans="1:5" x14ac:dyDescent="0.25">
      <c r="A24" s="11"/>
      <c r="B24" s="21"/>
      <c r="D24" s="34"/>
      <c r="E24" s="34"/>
    </row>
  </sheetData>
  <mergeCells count="4">
    <mergeCell ref="A4:E4"/>
    <mergeCell ref="A5:E5"/>
    <mergeCell ref="A6:E6"/>
    <mergeCell ref="A7:E7"/>
  </mergeCell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31" sqref="D31"/>
    </sheetView>
  </sheetViews>
  <sheetFormatPr defaultColWidth="8.85546875" defaultRowHeight="15" x14ac:dyDescent="0.25"/>
  <cols>
    <col min="1" max="1" width="47.28515625" style="18" customWidth="1"/>
    <col min="2" max="2" width="15.85546875" style="18" customWidth="1"/>
    <col min="3" max="3" width="10.7109375" style="18" customWidth="1"/>
    <col min="4" max="4" width="9.7109375" style="18" bestFit="1" customWidth="1"/>
    <col min="5" max="6" width="8.85546875" style="18"/>
    <col min="7" max="7" width="7.140625" style="18" bestFit="1" customWidth="1"/>
    <col min="8" max="10" width="8" style="18" bestFit="1" customWidth="1"/>
    <col min="11" max="11" width="7" style="18" bestFit="1" customWidth="1"/>
    <col min="12" max="12" width="8" style="18" bestFit="1" customWidth="1"/>
    <col min="13" max="13" width="16.7109375" style="18" customWidth="1"/>
    <col min="14" max="14" width="7" style="18" bestFit="1" customWidth="1"/>
    <col min="15" max="16384" width="8.85546875" style="18"/>
  </cols>
  <sheetData>
    <row r="1" spans="1:18" x14ac:dyDescent="0.25">
      <c r="A1" s="18" t="s">
        <v>14</v>
      </c>
    </row>
    <row r="2" spans="1:18" x14ac:dyDescent="0.25">
      <c r="A2" s="18" t="s">
        <v>51</v>
      </c>
    </row>
    <row r="3" spans="1:18" x14ac:dyDescent="0.25">
      <c r="A3" s="18" t="s">
        <v>15</v>
      </c>
      <c r="C3" s="18" t="s">
        <v>30</v>
      </c>
    </row>
    <row r="6" spans="1:18" x14ac:dyDescent="0.25">
      <c r="B6" s="37">
        <v>43252</v>
      </c>
    </row>
    <row r="7" spans="1:18" x14ac:dyDescent="0.25">
      <c r="A7" s="18" t="s">
        <v>16</v>
      </c>
      <c r="B7" s="18" t="s">
        <v>17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37"/>
      <c r="Q7" s="37"/>
      <c r="R7" s="37"/>
    </row>
    <row r="8" spans="1:18" x14ac:dyDescent="0.25">
      <c r="A8" s="53" t="s">
        <v>47</v>
      </c>
      <c r="B8" s="54">
        <v>666.66</v>
      </c>
      <c r="C8" s="18">
        <v>62100150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8" x14ac:dyDescent="0.25">
      <c r="A9" s="53" t="s">
        <v>48</v>
      </c>
      <c r="B9" s="54">
        <v>666.68</v>
      </c>
      <c r="C9" s="18">
        <v>62100150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x14ac:dyDescent="0.25">
      <c r="A10" s="53" t="s">
        <v>18</v>
      </c>
      <c r="B10" s="54">
        <v>7500</v>
      </c>
      <c r="C10" s="18">
        <v>62100150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8" x14ac:dyDescent="0.25">
      <c r="A11" s="53" t="s">
        <v>19</v>
      </c>
      <c r="B11" s="54">
        <v>6925</v>
      </c>
      <c r="C11" s="18">
        <v>62100150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8" x14ac:dyDescent="0.25">
      <c r="A12" s="53" t="s">
        <v>20</v>
      </c>
      <c r="B12" s="54">
        <v>27000</v>
      </c>
      <c r="C12" s="18">
        <v>62100150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8" x14ac:dyDescent="0.25">
      <c r="A13" s="53" t="s">
        <v>21</v>
      </c>
      <c r="B13" s="54">
        <v>17000</v>
      </c>
      <c r="C13" s="18">
        <v>62100150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8" x14ac:dyDescent="0.25">
      <c r="A14" s="53" t="s">
        <v>22</v>
      </c>
      <c r="B14" s="54">
        <v>-16550</v>
      </c>
      <c r="C14" s="18">
        <v>62100150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8" x14ac:dyDescent="0.25">
      <c r="A15" s="53" t="s">
        <v>23</v>
      </c>
      <c r="B15" s="54">
        <v>105000</v>
      </c>
      <c r="C15" s="18">
        <v>62100150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8" x14ac:dyDescent="0.25">
      <c r="A16" s="53" t="s">
        <v>24</v>
      </c>
      <c r="B16" s="54">
        <v>4995</v>
      </c>
      <c r="C16" s="18">
        <v>62100150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x14ac:dyDescent="0.25">
      <c r="A17" s="51" t="s">
        <v>49</v>
      </c>
      <c r="B17" s="52">
        <v>100</v>
      </c>
      <c r="C17" s="18">
        <v>62100150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25">
      <c r="A18" s="53" t="s">
        <v>49</v>
      </c>
      <c r="B18" s="54">
        <v>100</v>
      </c>
      <c r="C18" s="18">
        <v>63000090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18" t="s">
        <v>25</v>
      </c>
      <c r="B19" s="54">
        <v>28.89</v>
      </c>
      <c r="C19" s="18">
        <v>62100150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5">
      <c r="A20" s="18" t="s">
        <v>26</v>
      </c>
      <c r="B20" s="38">
        <v>666.66</v>
      </c>
      <c r="C20" s="18">
        <v>62100150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5">
      <c r="A21" s="18" t="s">
        <v>27</v>
      </c>
      <c r="B21" s="38">
        <v>3000</v>
      </c>
      <c r="C21" s="18">
        <v>62100150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x14ac:dyDescent="0.25">
      <c r="A22" s="18" t="s">
        <v>28</v>
      </c>
      <c r="B22" s="38">
        <f>SUM(B8:B21)</f>
        <v>157098.89000000001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25">
      <c r="A23" s="18" t="s">
        <v>29</v>
      </c>
      <c r="B23" s="38">
        <f>B22</f>
        <v>157098.89000000001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x14ac:dyDescent="0.25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x14ac:dyDescent="0.25">
      <c r="A25" s="18" t="s">
        <v>31</v>
      </c>
      <c r="B25" s="39">
        <f>SUM(B10:B16)</f>
        <v>151870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18" t="s">
        <v>32</v>
      </c>
      <c r="B26" s="39">
        <f>SUM(B17:B21)</f>
        <v>3895.55</v>
      </c>
    </row>
    <row r="27" spans="1:14" x14ac:dyDescent="0.25">
      <c r="A27" s="40"/>
      <c r="B27" s="40"/>
    </row>
    <row r="28" spans="1:14" x14ac:dyDescent="0.25">
      <c r="A28" s="40"/>
      <c r="B28" s="40"/>
    </row>
    <row r="29" spans="1:14" ht="45" x14ac:dyDescent="0.25">
      <c r="A29" s="40"/>
      <c r="B29" s="40"/>
      <c r="C29" s="41" t="s">
        <v>37</v>
      </c>
      <c r="D29" s="40"/>
    </row>
    <row r="30" spans="1:14" x14ac:dyDescent="0.25">
      <c r="A30" s="40" t="s">
        <v>35</v>
      </c>
      <c r="B30" s="43">
        <f>B21+B17+B18</f>
        <v>3200</v>
      </c>
      <c r="C30" s="40" t="s">
        <v>33</v>
      </c>
      <c r="D30" s="40" t="s">
        <v>38</v>
      </c>
    </row>
    <row r="31" spans="1:14" x14ac:dyDescent="0.25">
      <c r="A31" s="40" t="s">
        <v>36</v>
      </c>
      <c r="B31" s="40"/>
      <c r="C31" s="42">
        <f>'[1]3.04 &amp; 4.04 Lead'!$E$35</f>
        <v>0.65449999999999997</v>
      </c>
      <c r="D31" s="42">
        <f>'[1]3.04 &amp; 4.04 Lead'!$F$35</f>
        <v>0.34549999999999997</v>
      </c>
    </row>
    <row r="32" spans="1:14" x14ac:dyDescent="0.25">
      <c r="A32" s="40" t="s">
        <v>34</v>
      </c>
      <c r="B32" s="43">
        <f>B19+B20</f>
        <v>695.55</v>
      </c>
      <c r="C32" s="44">
        <f>B32*C31</f>
        <v>455.23747499999996</v>
      </c>
      <c r="D32" s="44">
        <f>B32*D31</f>
        <v>240.31252499999997</v>
      </c>
    </row>
    <row r="33" spans="1:2" x14ac:dyDescent="0.25">
      <c r="A33" s="40" t="s">
        <v>35</v>
      </c>
      <c r="B33" s="43">
        <f>+B30+C32</f>
        <v>3655.2374749999999</v>
      </c>
    </row>
    <row r="34" spans="1:2" x14ac:dyDescent="0.25">
      <c r="A34" s="40" t="s">
        <v>36</v>
      </c>
      <c r="B34" s="43">
        <f>+D32</f>
        <v>240.31252499999997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20" sqref="B20"/>
    </sheetView>
  </sheetViews>
  <sheetFormatPr defaultRowHeight="15" x14ac:dyDescent="0.25"/>
  <cols>
    <col min="1" max="1" width="18.5703125" customWidth="1"/>
    <col min="2" max="2" width="40.85546875" bestFit="1" customWidth="1"/>
    <col min="3" max="3" width="13.42578125" customWidth="1"/>
    <col min="4" max="4" width="18.5703125" bestFit="1" customWidth="1"/>
    <col min="5" max="6" width="21.7109375" bestFit="1" customWidth="1"/>
    <col min="7" max="7" width="21.85546875" bestFit="1" customWidth="1"/>
    <col min="8" max="8" width="9.42578125" bestFit="1" customWidth="1"/>
    <col min="9" max="9" width="8.28515625" bestFit="1" customWidth="1"/>
    <col min="10" max="10" width="13.5703125" bestFit="1" customWidth="1"/>
    <col min="11" max="11" width="10.7109375" bestFit="1" customWidth="1"/>
  </cols>
  <sheetData>
    <row r="2" spans="1:3" x14ac:dyDescent="0.25">
      <c r="A2" s="50" t="s">
        <v>42</v>
      </c>
      <c r="B2" s="50" t="s">
        <v>44</v>
      </c>
      <c r="C2" s="50" t="s">
        <v>45</v>
      </c>
    </row>
    <row r="3" spans="1:3" x14ac:dyDescent="0.25">
      <c r="A3" s="47" t="s">
        <v>43</v>
      </c>
      <c r="B3" s="47" t="s">
        <v>52</v>
      </c>
      <c r="C3" s="48">
        <v>425301.5</v>
      </c>
    </row>
    <row r="4" spans="1:3" x14ac:dyDescent="0.25">
      <c r="A4" s="49">
        <v>92306146</v>
      </c>
      <c r="B4" s="47" t="s">
        <v>53</v>
      </c>
      <c r="C4" s="48">
        <v>87500</v>
      </c>
    </row>
    <row r="5" spans="1:3" x14ac:dyDescent="0.25">
      <c r="B5" t="s">
        <v>39</v>
      </c>
      <c r="C5" s="45">
        <f>+C4+C3</f>
        <v>512801.5</v>
      </c>
    </row>
    <row r="6" spans="1:3" x14ac:dyDescent="0.25">
      <c r="C6" s="45"/>
    </row>
    <row r="7" spans="1:3" x14ac:dyDescent="0.25">
      <c r="C7" s="45"/>
    </row>
    <row r="8" spans="1:3" x14ac:dyDescent="0.25">
      <c r="C8" s="45"/>
    </row>
    <row r="10" spans="1:3" x14ac:dyDescent="0.25">
      <c r="C10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E53C24-8CDA-42C6-9F43-7F424930F23E}"/>
</file>

<file path=customXml/itemProps2.xml><?xml version="1.0" encoding="utf-8"?>
<ds:datastoreItem xmlns:ds="http://schemas.openxmlformats.org/officeDocument/2006/customXml" ds:itemID="{6115A72D-A27F-4A18-97CA-0AC56C8F533B}"/>
</file>

<file path=customXml/itemProps3.xml><?xml version="1.0" encoding="utf-8"?>
<ds:datastoreItem xmlns:ds="http://schemas.openxmlformats.org/officeDocument/2006/customXml" ds:itemID="{AB78F5E8-68ED-4B45-AFD0-AA7824848066}"/>
</file>

<file path=customXml/itemProps4.xml><?xml version="1.0" encoding="utf-8"?>
<ds:datastoreItem xmlns:ds="http://schemas.openxmlformats.org/officeDocument/2006/customXml" ds:itemID="{FFFB2F0E-347F-495B-941C-011A2F225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Lead G</vt:lpstr>
      <vt:lpstr>SAP 62100150</vt:lpstr>
      <vt:lpstr>92306147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dcterms:created xsi:type="dcterms:W3CDTF">2018-02-20T22:50:58Z</dcterms:created>
  <dcterms:modified xsi:type="dcterms:W3CDTF">2018-11-05T22:46:51Z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