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7 15 16 Forecast Usage by Sched" sheetId="13" r:id="rId1"/>
    <sheet name="Nat Gas 2015 Rate Calc" sheetId="7" r:id="rId2"/>
    <sheet name="Electric 2015 Rate Calc" sheetId="4" state="hidden" r:id="rId3"/>
    <sheet name="Earnings Test and 3% Test" sheetId="6" r:id="rId4"/>
    <sheet name="Conversion Factors" sheetId="2" r:id="rId5"/>
    <sheet name="Nat Gas 2015carryover Rate Calc" sheetId="8" state="hidden" r:id="rId6"/>
  </sheets>
  <definedNames>
    <definedName name="_xlnm.Print_Area" localSheetId="4">'Conversion Factors'!$G$1:$L$115</definedName>
    <definedName name="_xlnm.Print_Area" localSheetId="3">'Earnings Test and 3% Test'!$A$1:$I$83</definedName>
    <definedName name="_xlnm.Print_Area" localSheetId="2">'Electric 2015 Rate Calc'!$A$1:$L$81</definedName>
    <definedName name="_xlnm.Print_Area" localSheetId="1">'Nat Gas 2015 Rate Calc'!$A$1:$L$89</definedName>
    <definedName name="_xlnm.Print_Area" localSheetId="5">'Nat Gas 2015carryover Rate Calc'!$A$1:$J$60</definedName>
    <definedName name="_xlnm.Print_Titles" localSheetId="3">'Earnings Test and 3% Test'!$1:$4</definedName>
    <definedName name="_xlnm.Print_Titles" localSheetId="2">'Electric 2015 Rate Calc'!$1:$3</definedName>
    <definedName name="Z_5C6B1FA1_B621_4699_B8F7_5011E8FF1BCD_.wvu.PrintArea" localSheetId="4" hidden="1">'Conversion Factors'!$A$1:$L$115</definedName>
    <definedName name="Z_5C6B1FA1_B621_4699_B8F7_5011E8FF1BCD_.wvu.PrintArea" localSheetId="3" hidden="1">'Earnings Test and 3% Test'!$B$1:$I$83</definedName>
    <definedName name="Z_5C6B1FA1_B621_4699_B8F7_5011E8FF1BCD_.wvu.PrintArea" localSheetId="2" hidden="1">'Electric 2015 Rate Calc'!$B$1:$K$70</definedName>
    <definedName name="Z_5C6B1FA1_B621_4699_B8F7_5011E8FF1BCD_.wvu.PrintArea" localSheetId="1" hidden="1">'Nat Gas 2015 Rate Calc'!$B$1:$K$70</definedName>
    <definedName name="Z_5C6B1FA1_B621_4699_B8F7_5011E8FF1BCD_.wvu.PrintArea" localSheetId="5" hidden="1">'Nat Gas 2015carryover Rate Calc'!$A$1:$J$60</definedName>
    <definedName name="Z_5C6B1FA1_B621_4699_B8F7_5011E8FF1BCD_.wvu.PrintTitles" localSheetId="3" hidden="1">'Earnings Test and 3% Test'!$1:$4</definedName>
    <definedName name="Z_5C6B1FA1_B621_4699_B8F7_5011E8FF1BCD_.wvu.PrintTitles" localSheetId="2" hidden="1">'Electric 2015 Rate Calc'!$1:$3</definedName>
    <definedName name="Z_5C6B1FA1_B621_4699_B8F7_5011E8FF1BCD_.wvu.Rows" localSheetId="4" hidden="1">'Conversion Factors'!$1:$88</definedName>
    <definedName name="Z_6A207E9B_31ED_4215_AD4F_ABB2957B65E4_.wvu.PrintArea" localSheetId="4" hidden="1">'Conversion Factors'!$A$1:$L$115</definedName>
    <definedName name="Z_6A207E9B_31ED_4215_AD4F_ABB2957B65E4_.wvu.PrintArea" localSheetId="3" hidden="1">'Earnings Test and 3% Test'!$K$6:$U$51</definedName>
    <definedName name="Z_6A207E9B_31ED_4215_AD4F_ABB2957B65E4_.wvu.PrintArea" localSheetId="2" hidden="1">'Electric 2015 Rate Calc'!$B$1:$K$70</definedName>
    <definedName name="Z_6A207E9B_31ED_4215_AD4F_ABB2957B65E4_.wvu.PrintArea" localSheetId="1" hidden="1">'Nat Gas 2015 Rate Calc'!$B$1:$K$70</definedName>
    <definedName name="Z_6A207E9B_31ED_4215_AD4F_ABB2957B65E4_.wvu.PrintArea" localSheetId="5" hidden="1">'Nat Gas 2015carryover Rate Calc'!$A$1:$J$60</definedName>
    <definedName name="Z_6A207E9B_31ED_4215_AD4F_ABB2957B65E4_.wvu.PrintTitles" localSheetId="3" hidden="1">'Earnings Test and 3% Test'!$1:$4</definedName>
    <definedName name="Z_6A207E9B_31ED_4215_AD4F_ABB2957B65E4_.wvu.PrintTitles" localSheetId="2" hidden="1">'Electric 2015 Rate Calc'!$1:$3</definedName>
    <definedName name="Z_6A207E9B_31ED_4215_AD4F_ABB2957B65E4_.wvu.Rows" localSheetId="4" hidden="1">'Conversion Factors'!$1:$88</definedName>
  </definedNames>
  <calcPr calcId="152511"/>
  <customWorkbookViews>
    <customWorkbookView name="Provision Analysis" guid="{6A207E9B-31ED-4215-AD4F-ABB2957B65E4}" maximized="1" xWindow="-9" yWindow="-9" windowWidth="1938" windowHeight="1050" activeSheetId="6"/>
    <customWorkbookView name="Earnings Test" guid="{5C6B1FA1-B621-4699-B8F7-5011E8FF1BCD}" maximized="1" xWindow="-9" yWindow="-9" windowWidth="1938" windowHeight="1050" activeSheetId="6"/>
  </customWorkbookViews>
</workbook>
</file>

<file path=xl/calcChain.xml><?xml version="1.0" encoding="utf-8"?>
<calcChain xmlns="http://schemas.openxmlformats.org/spreadsheetml/2006/main">
  <c r="G28" i="6" l="1"/>
  <c r="I75" i="7" l="1"/>
  <c r="C75" i="7"/>
  <c r="I75" i="4" l="1"/>
  <c r="C75" i="4"/>
  <c r="J45" i="4" l="1"/>
  <c r="D13" i="8" l="1"/>
  <c r="D17" i="8"/>
  <c r="D9" i="8"/>
  <c r="K11" i="4"/>
  <c r="K13" i="4"/>
  <c r="K15" i="4"/>
  <c r="K17" i="4"/>
  <c r="K19" i="4"/>
  <c r="K9" i="4"/>
  <c r="E13" i="4"/>
  <c r="E17" i="4"/>
  <c r="E9" i="4"/>
  <c r="E12" i="7"/>
  <c r="E16" i="7"/>
  <c r="E20" i="7"/>
  <c r="BJ66" i="13"/>
  <c r="BI66" i="13"/>
  <c r="AY66" i="13"/>
  <c r="AX66" i="13"/>
  <c r="AO66" i="13"/>
  <c r="AN66" i="13"/>
  <c r="AA66" i="13"/>
  <c r="Z66" i="13"/>
  <c r="M66" i="13"/>
  <c r="L66" i="13"/>
  <c r="BJ65" i="13"/>
  <c r="BI65" i="13"/>
  <c r="AY65" i="13"/>
  <c r="AX65" i="13"/>
  <c r="AO65" i="13"/>
  <c r="AN65" i="13"/>
  <c r="AA65" i="13"/>
  <c r="Z65" i="13"/>
  <c r="M65" i="13"/>
  <c r="L65" i="13"/>
  <c r="BJ64" i="13"/>
  <c r="BI64" i="13"/>
  <c r="AY64" i="13"/>
  <c r="AX64" i="13"/>
  <c r="AO64" i="13"/>
  <c r="AN64" i="13"/>
  <c r="AA64" i="13"/>
  <c r="Z64" i="13"/>
  <c r="M64" i="13"/>
  <c r="L64" i="13"/>
  <c r="BJ63" i="13"/>
  <c r="BI63" i="13"/>
  <c r="AY63" i="13"/>
  <c r="AX63" i="13"/>
  <c r="AO63" i="13"/>
  <c r="AN63" i="13"/>
  <c r="AA63" i="13"/>
  <c r="Z63" i="13"/>
  <c r="M63" i="13"/>
  <c r="L63" i="13"/>
  <c r="BJ62" i="13"/>
  <c r="BI62" i="13"/>
  <c r="AY62" i="13"/>
  <c r="AX62" i="13"/>
  <c r="AO62" i="13"/>
  <c r="AN62" i="13"/>
  <c r="AA62" i="13"/>
  <c r="Z62" i="13"/>
  <c r="M62" i="13"/>
  <c r="L62" i="13"/>
  <c r="BJ61" i="13"/>
  <c r="BI61" i="13"/>
  <c r="AY61" i="13"/>
  <c r="AX61" i="13"/>
  <c r="AO61" i="13"/>
  <c r="AN61" i="13"/>
  <c r="AA61" i="13"/>
  <c r="Z61" i="13"/>
  <c r="M61" i="13"/>
  <c r="L61" i="13"/>
  <c r="BJ60" i="13"/>
  <c r="BI60" i="13"/>
  <c r="AY60" i="13"/>
  <c r="AX60" i="13"/>
  <c r="AO60" i="13"/>
  <c r="AN60" i="13"/>
  <c r="AA60" i="13"/>
  <c r="Z60" i="13"/>
  <c r="M60" i="13"/>
  <c r="L60" i="13"/>
  <c r="BJ59" i="13"/>
  <c r="BI59" i="13"/>
  <c r="AY59" i="13"/>
  <c r="AX59" i="13"/>
  <c r="AO59" i="13"/>
  <c r="AN59" i="13"/>
  <c r="AA59" i="13"/>
  <c r="Z59" i="13"/>
  <c r="M59" i="13"/>
  <c r="L59" i="13"/>
  <c r="BJ58" i="13"/>
  <c r="BI58" i="13"/>
  <c r="AY58" i="13"/>
  <c r="AX58" i="13"/>
  <c r="AO58" i="13"/>
  <c r="AN58" i="13"/>
  <c r="AA58" i="13"/>
  <c r="Z58" i="13"/>
  <c r="M58" i="13"/>
  <c r="L58" i="13"/>
  <c r="BJ57" i="13"/>
  <c r="BI57" i="13"/>
  <c r="AY57" i="13"/>
  <c r="AX57" i="13"/>
  <c r="AO57" i="13"/>
  <c r="AN57" i="13"/>
  <c r="AA57" i="13"/>
  <c r="Z57" i="13"/>
  <c r="M57" i="13"/>
  <c r="L57" i="13"/>
  <c r="BJ56" i="13"/>
  <c r="BI56" i="13"/>
  <c r="AY56" i="13"/>
  <c r="AX56" i="13"/>
  <c r="AO56" i="13"/>
  <c r="AN56" i="13"/>
  <c r="AA56" i="13"/>
  <c r="Z56" i="13"/>
  <c r="M56" i="13"/>
  <c r="L56" i="13"/>
  <c r="BJ55" i="13"/>
  <c r="BI55" i="13"/>
  <c r="AY55" i="13"/>
  <c r="AX55" i="13"/>
  <c r="AO55" i="13"/>
  <c r="AN55" i="13"/>
  <c r="AA55" i="13"/>
  <c r="Z55" i="13"/>
  <c r="M55" i="13"/>
  <c r="L55" i="13"/>
  <c r="BJ54" i="13"/>
  <c r="BI54" i="13"/>
  <c r="AY54" i="13"/>
  <c r="AX54" i="13"/>
  <c r="AO54" i="13"/>
  <c r="AN54" i="13"/>
  <c r="AA54" i="13"/>
  <c r="Z54" i="13"/>
  <c r="M54" i="13"/>
  <c r="L54" i="13"/>
  <c r="BJ53" i="13"/>
  <c r="BI53" i="13"/>
  <c r="AY53" i="13"/>
  <c r="AX53" i="13"/>
  <c r="AO53" i="13"/>
  <c r="AN53" i="13"/>
  <c r="AA53" i="13"/>
  <c r="Z53" i="13"/>
  <c r="M53" i="13"/>
  <c r="L53" i="13"/>
  <c r="BJ52" i="13"/>
  <c r="BI52" i="13"/>
  <c r="AY52" i="13"/>
  <c r="AX52" i="13"/>
  <c r="AO52" i="13"/>
  <c r="AN52" i="13"/>
  <c r="AA52" i="13"/>
  <c r="Z52" i="13"/>
  <c r="M52" i="13"/>
  <c r="L52" i="13"/>
  <c r="BJ51" i="13"/>
  <c r="BI51" i="13"/>
  <c r="AY51" i="13"/>
  <c r="AX51" i="13"/>
  <c r="AO51" i="13"/>
  <c r="AN51" i="13"/>
  <c r="AA51" i="13"/>
  <c r="Z51" i="13"/>
  <c r="M51" i="13"/>
  <c r="L51" i="13"/>
  <c r="BJ50" i="13"/>
  <c r="BI50" i="13"/>
  <c r="AY50" i="13"/>
  <c r="AX50" i="13"/>
  <c r="AO50" i="13"/>
  <c r="AN50" i="13"/>
  <c r="AA50" i="13"/>
  <c r="Z50" i="13"/>
  <c r="M50" i="13"/>
  <c r="L50" i="13"/>
  <c r="BJ49" i="13"/>
  <c r="BI49" i="13"/>
  <c r="AY49" i="13"/>
  <c r="AX49" i="13"/>
  <c r="AO49" i="13"/>
  <c r="AN49" i="13"/>
  <c r="AA49" i="13"/>
  <c r="Z49" i="13"/>
  <c r="M49" i="13"/>
  <c r="L49" i="13"/>
  <c r="BJ48" i="13"/>
  <c r="BI48" i="13"/>
  <c r="AY48" i="13"/>
  <c r="AX48" i="13"/>
  <c r="AO48" i="13"/>
  <c r="AN48" i="13"/>
  <c r="AA48" i="13"/>
  <c r="Z48" i="13"/>
  <c r="M48" i="13"/>
  <c r="L48" i="13"/>
  <c r="BJ47" i="13"/>
  <c r="BI47" i="13"/>
  <c r="AY47" i="13"/>
  <c r="AX47" i="13"/>
  <c r="AO47" i="13"/>
  <c r="AN47" i="13"/>
  <c r="AA47" i="13"/>
  <c r="Z47" i="13"/>
  <c r="M47" i="13"/>
  <c r="L47" i="13"/>
  <c r="BJ46" i="13"/>
  <c r="BI46" i="13"/>
  <c r="AY46" i="13"/>
  <c r="AX46" i="13"/>
  <c r="AO46" i="13"/>
  <c r="AN46" i="13"/>
  <c r="AA46" i="13"/>
  <c r="Z46" i="13"/>
  <c r="M46" i="13"/>
  <c r="L46" i="13"/>
  <c r="BJ45" i="13"/>
  <c r="BI45" i="13"/>
  <c r="AY45" i="13"/>
  <c r="AX45" i="13"/>
  <c r="AO45" i="13"/>
  <c r="AN45" i="13"/>
  <c r="AA45" i="13"/>
  <c r="Z45" i="13"/>
  <c r="M45" i="13"/>
  <c r="L45" i="13"/>
  <c r="BJ44" i="13"/>
  <c r="BI44" i="13"/>
  <c r="AY44" i="13"/>
  <c r="AX44" i="13"/>
  <c r="AO44" i="13"/>
  <c r="AN44" i="13"/>
  <c r="AA44" i="13"/>
  <c r="Z44" i="13"/>
  <c r="M44" i="13"/>
  <c r="L44" i="13"/>
  <c r="BJ43" i="13"/>
  <c r="BI43" i="13"/>
  <c r="AY43" i="13"/>
  <c r="AX43" i="13"/>
  <c r="AO43" i="13"/>
  <c r="AN43" i="13"/>
  <c r="AA43" i="13"/>
  <c r="Z43" i="13"/>
  <c r="M43" i="13"/>
  <c r="L43" i="13"/>
  <c r="BJ42" i="13"/>
  <c r="BI42" i="13"/>
  <c r="AY42" i="13"/>
  <c r="AX42" i="13"/>
  <c r="AO42" i="13"/>
  <c r="AN42" i="13"/>
  <c r="AA42" i="13"/>
  <c r="Z42" i="13"/>
  <c r="M42" i="13"/>
  <c r="L42" i="13"/>
  <c r="BJ41" i="13"/>
  <c r="BI41" i="13"/>
  <c r="AY41" i="13"/>
  <c r="AX41" i="13"/>
  <c r="AO41" i="13"/>
  <c r="AN41" i="13"/>
  <c r="AA41" i="13"/>
  <c r="Z41" i="13"/>
  <c r="M41" i="13"/>
  <c r="L41" i="13"/>
  <c r="BJ40" i="13"/>
  <c r="BI40" i="13"/>
  <c r="AY40" i="13"/>
  <c r="AX40" i="13"/>
  <c r="AO40" i="13"/>
  <c r="AN40" i="13"/>
  <c r="AA40" i="13"/>
  <c r="Z40" i="13"/>
  <c r="M40" i="13"/>
  <c r="L40" i="13"/>
  <c r="BJ39" i="13"/>
  <c r="BI39" i="13"/>
  <c r="AY39" i="13"/>
  <c r="AX39" i="13"/>
  <c r="AO39" i="13"/>
  <c r="AN39" i="13"/>
  <c r="AA39" i="13"/>
  <c r="Z39" i="13"/>
  <c r="M39" i="13"/>
  <c r="L39" i="13"/>
  <c r="BJ38" i="13"/>
  <c r="BI38" i="13"/>
  <c r="AY38" i="13"/>
  <c r="AX38" i="13"/>
  <c r="AO38" i="13"/>
  <c r="AN38" i="13"/>
  <c r="AA38" i="13"/>
  <c r="Z38" i="13"/>
  <c r="M38" i="13"/>
  <c r="L38" i="13"/>
  <c r="BJ37" i="13"/>
  <c r="BI37" i="13"/>
  <c r="AY37" i="13"/>
  <c r="AX37" i="13"/>
  <c r="AO37" i="13"/>
  <c r="AN37" i="13"/>
  <c r="AA37" i="13"/>
  <c r="Z37" i="13"/>
  <c r="M37" i="13"/>
  <c r="L37" i="13"/>
  <c r="BJ36" i="13"/>
  <c r="BI36" i="13"/>
  <c r="AY36" i="13"/>
  <c r="AX36" i="13"/>
  <c r="AO36" i="13"/>
  <c r="AN36" i="13"/>
  <c r="AA36" i="13"/>
  <c r="Z36" i="13"/>
  <c r="M36" i="13"/>
  <c r="L36" i="13"/>
  <c r="BJ35" i="13"/>
  <c r="BI35" i="13"/>
  <c r="AY35" i="13"/>
  <c r="AX35" i="13"/>
  <c r="AO35" i="13"/>
  <c r="AN35" i="13"/>
  <c r="AA35" i="13"/>
  <c r="Z35" i="13"/>
  <c r="M35" i="13"/>
  <c r="L35" i="13"/>
  <c r="BJ34" i="13"/>
  <c r="BI34" i="13"/>
  <c r="AY34" i="13"/>
  <c r="AX34" i="13"/>
  <c r="AO34" i="13"/>
  <c r="AN34" i="13"/>
  <c r="AA34" i="13"/>
  <c r="Z34" i="13"/>
  <c r="M34" i="13"/>
  <c r="L34" i="13"/>
  <c r="BJ33" i="13"/>
  <c r="BI33" i="13"/>
  <c r="AY33" i="13"/>
  <c r="AX33" i="13"/>
  <c r="AO33" i="13"/>
  <c r="AN33" i="13"/>
  <c r="AA33" i="13"/>
  <c r="Z33" i="13"/>
  <c r="M33" i="13"/>
  <c r="L33" i="13"/>
  <c r="BJ32" i="13"/>
  <c r="BI32" i="13"/>
  <c r="AY32" i="13"/>
  <c r="AX32" i="13"/>
  <c r="AO32" i="13"/>
  <c r="AN32" i="13"/>
  <c r="AA32" i="13"/>
  <c r="Z32" i="13"/>
  <c r="M32" i="13"/>
  <c r="L32" i="13"/>
  <c r="BJ31" i="13"/>
  <c r="BI31" i="13"/>
  <c r="AY31" i="13"/>
  <c r="AX31" i="13"/>
  <c r="AO31" i="13"/>
  <c r="AN31" i="13"/>
  <c r="AA31" i="13"/>
  <c r="Z31" i="13"/>
  <c r="M31" i="13"/>
  <c r="L31" i="13"/>
  <c r="BJ30" i="13"/>
  <c r="BI30" i="13"/>
  <c r="AY30" i="13"/>
  <c r="AX30" i="13"/>
  <c r="AO30" i="13"/>
  <c r="AN30" i="13"/>
  <c r="AA30" i="13"/>
  <c r="Z30" i="13"/>
  <c r="M30" i="13"/>
  <c r="L30" i="13"/>
  <c r="BJ29" i="13"/>
  <c r="BI29" i="13"/>
  <c r="AY29" i="13"/>
  <c r="AX29" i="13"/>
  <c r="AO29" i="13"/>
  <c r="AN29" i="13"/>
  <c r="AA29" i="13"/>
  <c r="Z29" i="13"/>
  <c r="M29" i="13"/>
  <c r="L29" i="13"/>
  <c r="BJ28" i="13"/>
  <c r="BI28" i="13"/>
  <c r="AY28" i="13"/>
  <c r="AX28" i="13"/>
  <c r="AO28" i="13"/>
  <c r="AN28" i="13"/>
  <c r="AA28" i="13"/>
  <c r="Z28" i="13"/>
  <c r="M28" i="13"/>
  <c r="J20" i="8" s="1"/>
  <c r="L28" i="13"/>
  <c r="D20" i="8" s="1"/>
  <c r="BJ27" i="13"/>
  <c r="BI27" i="13"/>
  <c r="AY27" i="13"/>
  <c r="AX27" i="13"/>
  <c r="AO27" i="13"/>
  <c r="AN27" i="13"/>
  <c r="AA27" i="13"/>
  <c r="Z27" i="13"/>
  <c r="M27" i="13"/>
  <c r="J19" i="8" s="1"/>
  <c r="L27" i="13"/>
  <c r="D19" i="8" s="1"/>
  <c r="BJ26" i="13"/>
  <c r="BI26" i="13"/>
  <c r="AY26" i="13"/>
  <c r="AX26" i="13"/>
  <c r="AO26" i="13"/>
  <c r="AN26" i="13"/>
  <c r="AA26" i="13"/>
  <c r="Z26" i="13"/>
  <c r="M26" i="13"/>
  <c r="J18" i="8" s="1"/>
  <c r="L26" i="13"/>
  <c r="D18" i="8" s="1"/>
  <c r="BJ25" i="13"/>
  <c r="BI25" i="13"/>
  <c r="AY25" i="13"/>
  <c r="AX25" i="13"/>
  <c r="AO25" i="13"/>
  <c r="AN25" i="13"/>
  <c r="AA25" i="13"/>
  <c r="Z25" i="13"/>
  <c r="M25" i="13"/>
  <c r="J17" i="8" s="1"/>
  <c r="L25" i="13"/>
  <c r="BJ24" i="13"/>
  <c r="BI24" i="13"/>
  <c r="AY24" i="13"/>
  <c r="AX24" i="13"/>
  <c r="AO24" i="13"/>
  <c r="AN24" i="13"/>
  <c r="AA24" i="13"/>
  <c r="Z24" i="13"/>
  <c r="M24" i="13"/>
  <c r="J16" i="8" s="1"/>
  <c r="L24" i="13"/>
  <c r="D16" i="8" s="1"/>
  <c r="BJ23" i="13"/>
  <c r="BI23" i="13"/>
  <c r="AY23" i="13"/>
  <c r="AX23" i="13"/>
  <c r="AO23" i="13"/>
  <c r="AN23" i="13"/>
  <c r="AA23" i="13"/>
  <c r="Z23" i="13"/>
  <c r="M23" i="13"/>
  <c r="J15" i="8" s="1"/>
  <c r="L23" i="13"/>
  <c r="D15" i="8" s="1"/>
  <c r="BJ22" i="13"/>
  <c r="BI22" i="13"/>
  <c r="AY22" i="13"/>
  <c r="AX22" i="13"/>
  <c r="AO22" i="13"/>
  <c r="AN22" i="13"/>
  <c r="AA22" i="13"/>
  <c r="Z22" i="13"/>
  <c r="M22" i="13"/>
  <c r="J14" i="8" s="1"/>
  <c r="L22" i="13"/>
  <c r="D14" i="8" s="1"/>
  <c r="BJ21" i="13"/>
  <c r="BI21" i="13"/>
  <c r="AY21" i="13"/>
  <c r="AX21" i="13"/>
  <c r="AO21" i="13"/>
  <c r="AN21" i="13"/>
  <c r="AA21" i="13"/>
  <c r="Z21" i="13"/>
  <c r="M21" i="13"/>
  <c r="J13" i="8" s="1"/>
  <c r="L21" i="13"/>
  <c r="BJ20" i="13"/>
  <c r="BI20" i="13"/>
  <c r="AY20" i="13"/>
  <c r="AX20" i="13"/>
  <c r="AO20" i="13"/>
  <c r="AN20" i="13"/>
  <c r="AA20" i="13"/>
  <c r="Z20" i="13"/>
  <c r="M20" i="13"/>
  <c r="J12" i="8" s="1"/>
  <c r="L20" i="13"/>
  <c r="D12" i="8" s="1"/>
  <c r="BJ19" i="13"/>
  <c r="BI19" i="13"/>
  <c r="AY19" i="13"/>
  <c r="AX19" i="13"/>
  <c r="AO19" i="13"/>
  <c r="AN19" i="13"/>
  <c r="AA19" i="13"/>
  <c r="Z19" i="13"/>
  <c r="M19" i="13"/>
  <c r="J11" i="8" s="1"/>
  <c r="L19" i="13"/>
  <c r="D11" i="8" s="1"/>
  <c r="BJ18" i="13"/>
  <c r="BI18" i="13"/>
  <c r="AY18" i="13"/>
  <c r="AX18" i="13"/>
  <c r="AO18" i="13"/>
  <c r="AN18" i="13"/>
  <c r="AA18" i="13"/>
  <c r="Z18" i="13"/>
  <c r="M18" i="13"/>
  <c r="J10" i="8" s="1"/>
  <c r="L18" i="13"/>
  <c r="D10" i="8" s="1"/>
  <c r="BJ17" i="13"/>
  <c r="BI17" i="13"/>
  <c r="AY17" i="13"/>
  <c r="AX17" i="13"/>
  <c r="AO17" i="13"/>
  <c r="AN17" i="13"/>
  <c r="AA17" i="13"/>
  <c r="Z17" i="13"/>
  <c r="M17" i="13"/>
  <c r="J9" i="8" s="1"/>
  <c r="L17" i="13"/>
  <c r="BJ16" i="13"/>
  <c r="BI16" i="13"/>
  <c r="AY16" i="13"/>
  <c r="AX16" i="13"/>
  <c r="AO16" i="13"/>
  <c r="AN16" i="13"/>
  <c r="AA16" i="13"/>
  <c r="K20" i="4" s="1"/>
  <c r="Z16" i="13"/>
  <c r="E20" i="4" s="1"/>
  <c r="M16" i="13"/>
  <c r="K20" i="7" s="1"/>
  <c r="L16" i="13"/>
  <c r="BJ15" i="13"/>
  <c r="BI15" i="13"/>
  <c r="AY15" i="13"/>
  <c r="AX15" i="13"/>
  <c r="AO15" i="13"/>
  <c r="AN15" i="13"/>
  <c r="AA15" i="13"/>
  <c r="Z15" i="13"/>
  <c r="E19" i="4" s="1"/>
  <c r="M15" i="13"/>
  <c r="K19" i="7" s="1"/>
  <c r="L15" i="13"/>
  <c r="E19" i="7" s="1"/>
  <c r="BJ14" i="13"/>
  <c r="BI14" i="13"/>
  <c r="AY14" i="13"/>
  <c r="AX14" i="13"/>
  <c r="AO14" i="13"/>
  <c r="AN14" i="13"/>
  <c r="AA14" i="13"/>
  <c r="K18" i="4" s="1"/>
  <c r="Z14" i="13"/>
  <c r="E18" i="4" s="1"/>
  <c r="M14" i="13"/>
  <c r="K18" i="7" s="1"/>
  <c r="L14" i="13"/>
  <c r="E18" i="7" s="1"/>
  <c r="BJ13" i="13"/>
  <c r="BI13" i="13"/>
  <c r="AY13" i="13"/>
  <c r="AX13" i="13"/>
  <c r="AO13" i="13"/>
  <c r="AN13" i="13"/>
  <c r="AA13" i="13"/>
  <c r="Z13" i="13"/>
  <c r="M13" i="13"/>
  <c r="K17" i="7" s="1"/>
  <c r="L13" i="13"/>
  <c r="E17" i="7" s="1"/>
  <c r="BJ12" i="13"/>
  <c r="BI12" i="13"/>
  <c r="AY12" i="13"/>
  <c r="AX12" i="13"/>
  <c r="AO12" i="13"/>
  <c r="AN12" i="13"/>
  <c r="AA12" i="13"/>
  <c r="K16" i="4" s="1"/>
  <c r="Z12" i="13"/>
  <c r="E16" i="4" s="1"/>
  <c r="M12" i="13"/>
  <c r="K16" i="7" s="1"/>
  <c r="L12" i="13"/>
  <c r="BJ11" i="13"/>
  <c r="BI11" i="13"/>
  <c r="AY11" i="13"/>
  <c r="AX11" i="13"/>
  <c r="AO11" i="13"/>
  <c r="AN11" i="13"/>
  <c r="AA11" i="13"/>
  <c r="Z11" i="13"/>
  <c r="E15" i="4" s="1"/>
  <c r="M11" i="13"/>
  <c r="K15" i="7" s="1"/>
  <c r="L11" i="13"/>
  <c r="E15" i="7" s="1"/>
  <c r="BJ10" i="13"/>
  <c r="BI10" i="13"/>
  <c r="AY10" i="13"/>
  <c r="AX10" i="13"/>
  <c r="AO10" i="13"/>
  <c r="AN10" i="13"/>
  <c r="AA10" i="13"/>
  <c r="K14" i="4" s="1"/>
  <c r="Z10" i="13"/>
  <c r="E14" i="4" s="1"/>
  <c r="M10" i="13"/>
  <c r="K14" i="7" s="1"/>
  <c r="L10" i="13"/>
  <c r="E14" i="7" s="1"/>
  <c r="BJ9" i="13"/>
  <c r="BI9" i="13"/>
  <c r="AY9" i="13"/>
  <c r="AX9" i="13"/>
  <c r="AO9" i="13"/>
  <c r="AN9" i="13"/>
  <c r="AA9" i="13"/>
  <c r="Z9" i="13"/>
  <c r="M9" i="13"/>
  <c r="K13" i="7" s="1"/>
  <c r="L9" i="13"/>
  <c r="E13" i="7" s="1"/>
  <c r="BJ8" i="13"/>
  <c r="BI8" i="13"/>
  <c r="AY8" i="13"/>
  <c r="AX8" i="13"/>
  <c r="AO8" i="13"/>
  <c r="AN8" i="13"/>
  <c r="AA8" i="13"/>
  <c r="K12" i="4" s="1"/>
  <c r="Z8" i="13"/>
  <c r="E12" i="4" s="1"/>
  <c r="M8" i="13"/>
  <c r="K12" i="7" s="1"/>
  <c r="L8" i="13"/>
  <c r="BJ7" i="13"/>
  <c r="BI7" i="13"/>
  <c r="AY7" i="13"/>
  <c r="AX7" i="13"/>
  <c r="AO7" i="13"/>
  <c r="AN7" i="13"/>
  <c r="AA7" i="13"/>
  <c r="Z7" i="13"/>
  <c r="E11" i="4" s="1"/>
  <c r="M7" i="13"/>
  <c r="K11" i="7" s="1"/>
  <c r="L7" i="13"/>
  <c r="E11" i="7" s="1"/>
  <c r="BJ6" i="13"/>
  <c r="BI6" i="13"/>
  <c r="AY6" i="13"/>
  <c r="AX6" i="13"/>
  <c r="AO6" i="13"/>
  <c r="AN6" i="13"/>
  <c r="AA6" i="13"/>
  <c r="K10" i="4" s="1"/>
  <c r="Z6" i="13"/>
  <c r="E10" i="4" s="1"/>
  <c r="M6" i="13"/>
  <c r="K10" i="7" s="1"/>
  <c r="L6" i="13"/>
  <c r="E10" i="7" s="1"/>
  <c r="BJ5" i="13"/>
  <c r="BI5" i="13"/>
  <c r="AY5" i="13"/>
  <c r="AX5" i="13"/>
  <c r="AO5" i="13"/>
  <c r="AN5" i="13"/>
  <c r="AA5" i="13"/>
  <c r="Z5" i="13"/>
  <c r="M5" i="13"/>
  <c r="K9" i="7" s="1"/>
  <c r="L5" i="13"/>
  <c r="E9" i="7" s="1"/>
  <c r="AP1" i="13"/>
  <c r="AC1" i="13"/>
  <c r="D28" i="6" l="1"/>
  <c r="R11" i="8" l="1"/>
  <c r="R9" i="8"/>
  <c r="T11" i="8"/>
  <c r="T9" i="8"/>
  <c r="R23" i="8" l="1"/>
  <c r="R22" i="8"/>
  <c r="I46" i="8"/>
  <c r="G43" i="8"/>
  <c r="A43" i="8"/>
  <c r="C27" i="8"/>
  <c r="I27" i="8" s="1"/>
  <c r="D22" i="8"/>
  <c r="T22" i="8" s="1"/>
  <c r="T13" i="8" l="1"/>
  <c r="U9" i="8" s="1"/>
  <c r="R13" i="8"/>
  <c r="S9" i="8" s="1"/>
  <c r="J22" i="8"/>
  <c r="T23" i="8" s="1"/>
  <c r="R18" i="8" l="1"/>
  <c r="U11" i="8"/>
  <c r="U13" i="8" s="1"/>
  <c r="T18" i="8"/>
  <c r="S11" i="8"/>
  <c r="S13" i="8" s="1"/>
  <c r="J7" i="4" l="1"/>
  <c r="J45" i="7" l="1"/>
  <c r="J49" i="7"/>
  <c r="D49" i="7"/>
  <c r="C46" i="7"/>
  <c r="H42" i="7"/>
  <c r="B42" i="7"/>
  <c r="E22" i="7"/>
  <c r="G39" i="6" s="1"/>
  <c r="G30" i="6"/>
  <c r="K22" i="7" l="1"/>
  <c r="G40" i="6" s="1"/>
  <c r="H28" i="6"/>
  <c r="G34" i="6" s="1"/>
  <c r="I47" i="7" s="1"/>
  <c r="H26" i="6"/>
  <c r="D30" i="6"/>
  <c r="E26" i="6" s="1"/>
  <c r="I48" i="7" l="1"/>
  <c r="I49" i="7" s="1"/>
  <c r="J50" i="7" s="1"/>
  <c r="I76" i="7"/>
  <c r="H30" i="6"/>
  <c r="G33" i="6"/>
  <c r="E28" i="6"/>
  <c r="E30" i="6" s="1"/>
  <c r="I50" i="7" l="1"/>
  <c r="J51" i="7" s="1"/>
  <c r="G35" i="6"/>
  <c r="C47" i="7"/>
  <c r="C48" i="7" l="1"/>
  <c r="C49" i="7" s="1"/>
  <c r="C76" i="7"/>
  <c r="I51" i="7"/>
  <c r="J52" i="7" s="1"/>
  <c r="I52" i="7"/>
  <c r="J53" i="7" s="1"/>
  <c r="D50" i="7"/>
  <c r="C50" i="7" l="1"/>
  <c r="D51" i="7" s="1"/>
  <c r="I53" i="7"/>
  <c r="J54" i="7" s="1"/>
  <c r="C51" i="7" l="1"/>
  <c r="D52" i="7"/>
  <c r="I54" i="7"/>
  <c r="J55" i="7" s="1"/>
  <c r="C52" i="7" l="1"/>
  <c r="D53" i="7" s="1"/>
  <c r="C53" i="7" s="1"/>
  <c r="I55" i="7"/>
  <c r="J56" i="7" s="1"/>
  <c r="I56" i="7" l="1"/>
  <c r="J57" i="7" s="1"/>
  <c r="D54" i="7"/>
  <c r="C54" i="7" s="1"/>
  <c r="D55" i="7" s="1"/>
  <c r="I57" i="7" l="1"/>
  <c r="J58" i="7" s="1"/>
  <c r="C55" i="7"/>
  <c r="D56" i="7" s="1"/>
  <c r="I58" i="7" l="1"/>
  <c r="C56" i="7"/>
  <c r="D57" i="7" s="1"/>
  <c r="I8" i="7" l="1"/>
  <c r="I7" i="7" s="1"/>
  <c r="J25" i="7" s="1"/>
  <c r="H35" i="7" s="1"/>
  <c r="C57" i="7"/>
  <c r="D58" i="7" s="1"/>
  <c r="C58" i="7" l="1"/>
  <c r="I9" i="7"/>
  <c r="C8" i="7" l="1"/>
  <c r="C7" i="7" s="1"/>
  <c r="D25" i="7" s="1"/>
  <c r="B35" i="7" s="1"/>
  <c r="I10" i="7"/>
  <c r="J10" i="7" s="1"/>
  <c r="J9" i="7"/>
  <c r="C9" i="7" l="1"/>
  <c r="C10" i="7" s="1"/>
  <c r="C11" i="7" s="1"/>
  <c r="D9" i="7"/>
  <c r="I11" i="7"/>
  <c r="J11" i="7" s="1"/>
  <c r="D13" i="6"/>
  <c r="D10" i="7" l="1"/>
  <c r="C12" i="7"/>
  <c r="D12" i="7" s="1"/>
  <c r="D11" i="7"/>
  <c r="I12" i="7"/>
  <c r="D15" i="6"/>
  <c r="D17" i="6" s="1"/>
  <c r="G13" i="6"/>
  <c r="G15" i="6" s="1"/>
  <c r="I13" i="7" l="1"/>
  <c r="C13" i="7"/>
  <c r="D13" i="7" s="1"/>
  <c r="J12" i="7"/>
  <c r="G17" i="6"/>
  <c r="G19" i="6" s="1"/>
  <c r="D19" i="6"/>
  <c r="D21" i="6" s="1"/>
  <c r="D33" i="6" l="1"/>
  <c r="C47" i="4" s="1"/>
  <c r="D34" i="6"/>
  <c r="I47" i="4" s="1"/>
  <c r="I14" i="7"/>
  <c r="J14" i="7" s="1"/>
  <c r="J13" i="7"/>
  <c r="C14" i="7"/>
  <c r="I48" i="4" l="1"/>
  <c r="J49" i="4" s="1"/>
  <c r="I76" i="4"/>
  <c r="C48" i="4"/>
  <c r="C76" i="4"/>
  <c r="D49" i="4"/>
  <c r="D35" i="6"/>
  <c r="C15" i="7"/>
  <c r="D14" i="7"/>
  <c r="I15" i="7"/>
  <c r="I49" i="4" l="1"/>
  <c r="J50" i="4" s="1"/>
  <c r="C49" i="4"/>
  <c r="D50" i="4" s="1"/>
  <c r="I16" i="7"/>
  <c r="C16" i="7"/>
  <c r="J15" i="7"/>
  <c r="D15" i="7"/>
  <c r="H42" i="4"/>
  <c r="B42" i="4"/>
  <c r="E22" i="4"/>
  <c r="D39" i="6" s="1"/>
  <c r="I50" i="4" l="1"/>
  <c r="J51" i="4" s="1"/>
  <c r="C50" i="4"/>
  <c r="D51" i="4" s="1"/>
  <c r="C17" i="7"/>
  <c r="I17" i="7"/>
  <c r="J16" i="7"/>
  <c r="D16" i="7"/>
  <c r="K22" i="4"/>
  <c r="D40" i="6" s="1"/>
  <c r="K106" i="2"/>
  <c r="K108" i="2" s="1"/>
  <c r="K115" i="2" s="1"/>
  <c r="D27" i="7" s="1"/>
  <c r="J27" i="7" s="1"/>
  <c r="C51" i="4" l="1"/>
  <c r="D52" i="4"/>
  <c r="C52" i="4" s="1"/>
  <c r="I18" i="7"/>
  <c r="J18" i="7" s="1"/>
  <c r="J17" i="7"/>
  <c r="C18" i="7"/>
  <c r="D17" i="7"/>
  <c r="I51" i="4"/>
  <c r="J52" i="4" s="1"/>
  <c r="K110" i="2"/>
  <c r="K112" i="2" s="1"/>
  <c r="D53" i="4" l="1"/>
  <c r="C53" i="4" s="1"/>
  <c r="C19" i="7"/>
  <c r="I19" i="7"/>
  <c r="J19" i="7" s="1"/>
  <c r="D18" i="7"/>
  <c r="I52" i="4"/>
  <c r="J53" i="4" s="1"/>
  <c r="D54" i="4" l="1"/>
  <c r="I20" i="7"/>
  <c r="J20" i="7" s="1"/>
  <c r="J22" i="7" s="1"/>
  <c r="J24" i="7" s="1"/>
  <c r="J26" i="7" s="1"/>
  <c r="J28" i="7" s="1"/>
  <c r="C20" i="7"/>
  <c r="D20" i="7" s="1"/>
  <c r="D19" i="7"/>
  <c r="I53" i="4"/>
  <c r="J54" i="4" s="1"/>
  <c r="C54" i="4" l="1"/>
  <c r="D22" i="7"/>
  <c r="D24" i="7" s="1"/>
  <c r="D26" i="7" s="1"/>
  <c r="D28" i="7" s="1"/>
  <c r="G43" i="6" s="1"/>
  <c r="G51" i="6" s="1"/>
  <c r="G55" i="6" s="1"/>
  <c r="G44" i="6"/>
  <c r="G52" i="6" s="1"/>
  <c r="I54" i="4"/>
  <c r="J55" i="4" s="1"/>
  <c r="D55" i="4" l="1"/>
  <c r="C55" i="4" s="1"/>
  <c r="G56" i="6"/>
  <c r="G60" i="6" s="1"/>
  <c r="G59" i="6"/>
  <c r="G63" i="6" s="1"/>
  <c r="I55" i="4"/>
  <c r="J56" i="4" s="1"/>
  <c r="D56" i="4" l="1"/>
  <c r="C56" i="4" s="1"/>
  <c r="G64" i="6"/>
  <c r="G54" i="6"/>
  <c r="I56" i="4"/>
  <c r="J57" i="4" s="1"/>
  <c r="D57" i="4" l="1"/>
  <c r="C57" i="4" s="1"/>
  <c r="G68" i="6"/>
  <c r="G67" i="6"/>
  <c r="I57" i="4"/>
  <c r="J58" i="4" s="1"/>
  <c r="D58" i="4" l="1"/>
  <c r="C58" i="4" s="1"/>
  <c r="C8" i="4" s="1"/>
  <c r="C7" i="4" s="1"/>
  <c r="G71" i="6"/>
  <c r="G75" i="6" s="1"/>
  <c r="G79" i="6" s="1"/>
  <c r="D29" i="7"/>
  <c r="D30" i="7" s="1"/>
  <c r="G72" i="6"/>
  <c r="G76" i="6" s="1"/>
  <c r="J29" i="7"/>
  <c r="J30" i="7" s="1"/>
  <c r="I58" i="4"/>
  <c r="I80" i="7" l="1"/>
  <c r="I78" i="7"/>
  <c r="C80" i="7"/>
  <c r="I8" i="4"/>
  <c r="D31" i="7"/>
  <c r="E61" i="7" s="1"/>
  <c r="T30" i="8"/>
  <c r="J31" i="7"/>
  <c r="K65" i="7" s="1"/>
  <c r="T31" i="8"/>
  <c r="G80" i="6"/>
  <c r="G74" i="6"/>
  <c r="C78" i="7" l="1"/>
  <c r="K64" i="7"/>
  <c r="K68" i="7"/>
  <c r="K70" i="7"/>
  <c r="K59" i="7"/>
  <c r="K60" i="7"/>
  <c r="E66" i="7"/>
  <c r="E59" i="7"/>
  <c r="E69" i="7"/>
  <c r="E62" i="7"/>
  <c r="E68" i="7"/>
  <c r="E67" i="7"/>
  <c r="E64" i="7"/>
  <c r="E65" i="7"/>
  <c r="E60" i="7"/>
  <c r="E63" i="7"/>
  <c r="E70" i="7"/>
  <c r="K69" i="7"/>
  <c r="K63" i="7"/>
  <c r="K61" i="7"/>
  <c r="K66" i="7"/>
  <c r="K67" i="7"/>
  <c r="K62" i="7"/>
  <c r="J59" i="7" l="1"/>
  <c r="I59" i="7" s="1"/>
  <c r="J60" i="7" s="1"/>
  <c r="D59" i="7"/>
  <c r="C59" i="7" s="1"/>
  <c r="E72" i="7"/>
  <c r="K72" i="7"/>
  <c r="D25" i="4"/>
  <c r="B35" i="4" s="1"/>
  <c r="I60" i="7" l="1"/>
  <c r="J61" i="7" s="1"/>
  <c r="D60" i="7"/>
  <c r="C60" i="7" s="1"/>
  <c r="D61" i="7" s="1"/>
  <c r="C9" i="4"/>
  <c r="I61" i="7" l="1"/>
  <c r="J62" i="7" s="1"/>
  <c r="I62" i="7" s="1"/>
  <c r="J63" i="7" s="1"/>
  <c r="C61" i="7"/>
  <c r="C10" i="4"/>
  <c r="C11" i="4" s="1"/>
  <c r="D9" i="4"/>
  <c r="D62" i="7" l="1"/>
  <c r="C62" i="7" s="1"/>
  <c r="D10" i="4"/>
  <c r="I63" i="7"/>
  <c r="J64" i="7" s="1"/>
  <c r="C12" i="4"/>
  <c r="D11" i="4"/>
  <c r="D63" i="7" l="1"/>
  <c r="C63" i="7" s="1"/>
  <c r="I64" i="7"/>
  <c r="J65" i="7" s="1"/>
  <c r="C13" i="4"/>
  <c r="D13" i="4" s="1"/>
  <c r="D12" i="4"/>
  <c r="D64" i="7" l="1"/>
  <c r="C64" i="7" s="1"/>
  <c r="I65" i="7"/>
  <c r="C14" i="4"/>
  <c r="D14" i="4" s="1"/>
  <c r="J66" i="7" l="1"/>
  <c r="I66" i="7" s="1"/>
  <c r="D65" i="7"/>
  <c r="C65" i="7" s="1"/>
  <c r="C15" i="4"/>
  <c r="J67" i="7" l="1"/>
  <c r="I67" i="7" s="1"/>
  <c r="J68" i="7" s="1"/>
  <c r="D66" i="7"/>
  <c r="C66" i="7" s="1"/>
  <c r="C16" i="4"/>
  <c r="D16" i="4" s="1"/>
  <c r="D15" i="4"/>
  <c r="I68" i="7" l="1"/>
  <c r="J69" i="7" s="1"/>
  <c r="D67" i="7"/>
  <c r="C67" i="7" s="1"/>
  <c r="C17" i="4"/>
  <c r="D17" i="4" s="1"/>
  <c r="I69" i="7" l="1"/>
  <c r="J70" i="7" s="1"/>
  <c r="J72" i="7" s="1"/>
  <c r="I77" i="7" s="1"/>
  <c r="I79" i="7" s="1"/>
  <c r="I81" i="7" s="1"/>
  <c r="D68" i="7"/>
  <c r="C68" i="7" s="1"/>
  <c r="C18" i="4"/>
  <c r="D18" i="4" s="1"/>
  <c r="I70" i="7" l="1"/>
  <c r="J32" i="7" s="1"/>
  <c r="D69" i="7"/>
  <c r="C69" i="7" s="1"/>
  <c r="C19" i="4"/>
  <c r="H8" i="8" l="1"/>
  <c r="H7" i="8" s="1"/>
  <c r="I25" i="8" s="1"/>
  <c r="G35" i="8" s="1"/>
  <c r="H48" i="8"/>
  <c r="D70" i="7"/>
  <c r="D72" i="7" s="1"/>
  <c r="C77" i="7" s="1"/>
  <c r="C79" i="7" s="1"/>
  <c r="C81" i="7" s="1"/>
  <c r="C20" i="4"/>
  <c r="D20" i="4" s="1"/>
  <c r="D19" i="4"/>
  <c r="C70" i="7" l="1"/>
  <c r="B8" i="8" s="1"/>
  <c r="D32" i="7"/>
  <c r="H9" i="8"/>
  <c r="I9" i="8" s="1"/>
  <c r="D22" i="4"/>
  <c r="B48" i="8" l="1"/>
  <c r="H10" i="8"/>
  <c r="I10" i="8" s="1"/>
  <c r="D24" i="4"/>
  <c r="D26" i="4" s="1"/>
  <c r="E106" i="2"/>
  <c r="E108" i="2" s="1"/>
  <c r="E115" i="2" s="1"/>
  <c r="D27" i="4" s="1"/>
  <c r="J27" i="4" s="1"/>
  <c r="H11" i="8" l="1"/>
  <c r="I11" i="8" s="1"/>
  <c r="D28" i="4"/>
  <c r="D43" i="6" s="1"/>
  <c r="D51" i="6" s="1"/>
  <c r="D55" i="6" s="1"/>
  <c r="D59" i="6" s="1"/>
  <c r="D63" i="6" s="1"/>
  <c r="E110" i="2"/>
  <c r="E112" i="2" s="1"/>
  <c r="H12" i="8" l="1"/>
  <c r="I12" i="8" s="1"/>
  <c r="E77" i="2"/>
  <c r="E79" i="2" s="1"/>
  <c r="E87" i="2" s="1"/>
  <c r="H13" i="8" l="1"/>
  <c r="H14" i="8" s="1"/>
  <c r="I14" i="8" s="1"/>
  <c r="E81" i="2"/>
  <c r="E83" i="2" s="1"/>
  <c r="I13" i="8" l="1"/>
  <c r="H15" i="8"/>
  <c r="H16" i="8" s="1"/>
  <c r="K77" i="2"/>
  <c r="K79" i="2" s="1"/>
  <c r="K87" i="2" s="1"/>
  <c r="I16" i="8" l="1"/>
  <c r="H17" i="8"/>
  <c r="I17" i="8" s="1"/>
  <c r="I15" i="8"/>
  <c r="K81" i="2"/>
  <c r="K83" i="2" s="1"/>
  <c r="H18" i="8" l="1"/>
  <c r="I18" i="8" s="1"/>
  <c r="K49" i="2"/>
  <c r="K51" i="2" s="1"/>
  <c r="K59" i="2" s="1"/>
  <c r="H19" i="8" l="1"/>
  <c r="H20" i="8" s="1"/>
  <c r="I20" i="8" s="1"/>
  <c r="K53" i="2"/>
  <c r="K55" i="2" s="1"/>
  <c r="I19" i="8" l="1"/>
  <c r="I22" i="8" s="1"/>
  <c r="I24" i="8" s="1"/>
  <c r="I26" i="8" s="1"/>
  <c r="I28" i="8" s="1"/>
  <c r="T27" i="8" s="1"/>
  <c r="E49" i="2"/>
  <c r="E51" i="2" s="1"/>
  <c r="E59" i="2" s="1"/>
  <c r="T35" i="8" l="1"/>
  <c r="E53" i="2"/>
  <c r="E55" i="2" s="1"/>
  <c r="T39" i="8" l="1"/>
  <c r="T43" i="8" s="1"/>
  <c r="T47" i="8"/>
  <c r="T51" i="8" s="1"/>
  <c r="K18" i="2"/>
  <c r="K20" i="2" s="1"/>
  <c r="K28" i="2" s="1"/>
  <c r="I29" i="8" l="1"/>
  <c r="I30" i="8" s="1"/>
  <c r="I31" i="8" s="1"/>
  <c r="T55" i="8"/>
  <c r="T59" i="8" s="1"/>
  <c r="T63" i="8" s="1"/>
  <c r="K22" i="2"/>
  <c r="K24" i="2" s="1"/>
  <c r="J58" i="8" l="1"/>
  <c r="J55" i="8"/>
  <c r="J54" i="8"/>
  <c r="J50" i="8"/>
  <c r="J51" i="8"/>
  <c r="J53" i="8"/>
  <c r="J56" i="8"/>
  <c r="J57" i="8"/>
  <c r="J49" i="8"/>
  <c r="J59" i="8"/>
  <c r="J52" i="8"/>
  <c r="J60" i="8"/>
  <c r="E18" i="2"/>
  <c r="E20" i="2" s="1"/>
  <c r="E28" i="2" s="1"/>
  <c r="I49" i="8" l="1"/>
  <c r="H49" i="8" s="1"/>
  <c r="I50" i="8" s="1"/>
  <c r="H50" i="8" s="1"/>
  <c r="I51" i="8" s="1"/>
  <c r="H51" i="8" s="1"/>
  <c r="I52" i="8" s="1"/>
  <c r="H52" i="8" s="1"/>
  <c r="I53" i="8" s="1"/>
  <c r="H53" i="8" s="1"/>
  <c r="I54" i="8" s="1"/>
  <c r="H54" i="8" s="1"/>
  <c r="I55" i="8" s="1"/>
  <c r="H55" i="8" s="1"/>
  <c r="I56" i="8" s="1"/>
  <c r="H56" i="8" s="1"/>
  <c r="I57" i="8" s="1"/>
  <c r="H57" i="8" s="1"/>
  <c r="I58" i="8" s="1"/>
  <c r="H58" i="8" s="1"/>
  <c r="I59" i="8" s="1"/>
  <c r="H59" i="8" s="1"/>
  <c r="I60" i="8" s="1"/>
  <c r="H60" i="8" s="1"/>
  <c r="I32" i="8" s="1"/>
  <c r="J62" i="8"/>
  <c r="E22" i="2"/>
  <c r="E24" i="2" s="1"/>
  <c r="I7" i="4" l="1"/>
  <c r="I9" i="4" s="1"/>
  <c r="J25" i="4" l="1"/>
  <c r="H35" i="4" s="1"/>
  <c r="J9" i="4"/>
  <c r="I10" i="4"/>
  <c r="I11" i="4" l="1"/>
  <c r="J10" i="4"/>
  <c r="I12" i="4" l="1"/>
  <c r="J12" i="4" s="1"/>
  <c r="J11" i="4"/>
  <c r="I13" i="4" l="1"/>
  <c r="J13" i="4" s="1"/>
  <c r="I14" i="4" l="1"/>
  <c r="I15" i="4" l="1"/>
  <c r="J15" i="4" s="1"/>
  <c r="J14" i="4"/>
  <c r="I16" i="4" l="1"/>
  <c r="J16" i="4" s="1"/>
  <c r="I17" i="4" l="1"/>
  <c r="J17" i="4" s="1"/>
  <c r="I18" i="4" l="1"/>
  <c r="I19" i="4" l="1"/>
  <c r="J18" i="4"/>
  <c r="I20" i="4" l="1"/>
  <c r="J20" i="4" s="1"/>
  <c r="J19" i="4"/>
  <c r="J22" i="4" l="1"/>
  <c r="J24" i="4" s="1"/>
  <c r="J26" i="4" s="1"/>
  <c r="J28" i="4" s="1"/>
  <c r="D44" i="6" s="1"/>
  <c r="D52" i="6" l="1"/>
  <c r="D64" i="6" s="1"/>
  <c r="D68" i="6" l="1"/>
  <c r="D56" i="6"/>
  <c r="D54" i="6" l="1"/>
  <c r="D60" i="6"/>
  <c r="D67" i="6"/>
  <c r="D29" i="4" s="1"/>
  <c r="J29" i="4"/>
  <c r="D72" i="6"/>
  <c r="D76" i="6" s="1"/>
  <c r="D80" i="6" s="1"/>
  <c r="D71" i="6" l="1"/>
  <c r="D75" i="6" s="1"/>
  <c r="J30" i="4"/>
  <c r="D30" i="4"/>
  <c r="D31" i="4" l="1"/>
  <c r="C78" i="4" s="1"/>
  <c r="C80" i="4"/>
  <c r="J31" i="4"/>
  <c r="I80" i="4"/>
  <c r="D74" i="6"/>
  <c r="D79" i="6"/>
  <c r="K66" i="4"/>
  <c r="E63" i="4"/>
  <c r="E66" i="4" l="1"/>
  <c r="K68" i="4"/>
  <c r="K69" i="4"/>
  <c r="E68" i="4"/>
  <c r="K67" i="4"/>
  <c r="K64" i="4"/>
  <c r="K61" i="4"/>
  <c r="E67" i="4"/>
  <c r="E70" i="4"/>
  <c r="E60" i="4"/>
  <c r="E65" i="4"/>
  <c r="E64" i="4"/>
  <c r="E69" i="4"/>
  <c r="K62" i="4"/>
  <c r="K65" i="4"/>
  <c r="K70" i="4"/>
  <c r="E59" i="4"/>
  <c r="D59" i="4" s="1"/>
  <c r="C59" i="4" s="1"/>
  <c r="E62" i="4"/>
  <c r="E61" i="4"/>
  <c r="K59" i="4"/>
  <c r="J59" i="4" s="1"/>
  <c r="I59" i="4" s="1"/>
  <c r="K60" i="4"/>
  <c r="K63" i="4"/>
  <c r="J60" i="4" l="1"/>
  <c r="K72" i="4"/>
  <c r="E72" i="4"/>
  <c r="D60" i="4"/>
  <c r="C60" i="4" s="1"/>
  <c r="D61" i="4" s="1"/>
  <c r="I60" i="4"/>
  <c r="J61" i="4" l="1"/>
  <c r="I61" i="4" s="1"/>
  <c r="J62" i="4" s="1"/>
  <c r="C61" i="4"/>
  <c r="D62" i="4" s="1"/>
  <c r="I62" i="4" l="1"/>
  <c r="J63" i="4" s="1"/>
  <c r="C62" i="4"/>
  <c r="D63" i="4" s="1"/>
  <c r="I63" i="4" l="1"/>
  <c r="J64" i="4" s="1"/>
  <c r="C63" i="4"/>
  <c r="D64" i="4" s="1"/>
  <c r="I64" i="4" l="1"/>
  <c r="J65" i="4" s="1"/>
  <c r="C64" i="4"/>
  <c r="D65" i="4" s="1"/>
  <c r="I65" i="4" l="1"/>
  <c r="J66" i="4" s="1"/>
  <c r="C65" i="4"/>
  <c r="D66" i="4" s="1"/>
  <c r="I66" i="4" l="1"/>
  <c r="J67" i="4" s="1"/>
  <c r="C66" i="4"/>
  <c r="D67" i="4" s="1"/>
  <c r="I67" i="4" l="1"/>
  <c r="J68" i="4" s="1"/>
  <c r="C67" i="4"/>
  <c r="D68" i="4" s="1"/>
  <c r="I68" i="4" l="1"/>
  <c r="J69" i="4" s="1"/>
  <c r="C68" i="4"/>
  <c r="D69" i="4" s="1"/>
  <c r="I69" i="4" l="1"/>
  <c r="J70" i="4" s="1"/>
  <c r="J72" i="4" s="1"/>
  <c r="I77" i="4" s="1"/>
  <c r="C69" i="4"/>
  <c r="D70" i="4" s="1"/>
  <c r="D72" i="4" s="1"/>
  <c r="C77" i="4" s="1"/>
  <c r="C79" i="4" s="1"/>
  <c r="C81" i="4" s="1"/>
  <c r="I70" i="4" l="1"/>
  <c r="C70" i="4"/>
  <c r="D32" i="4" s="1"/>
  <c r="B7" i="8"/>
  <c r="B9" i="8" s="1"/>
  <c r="J32" i="4" l="1"/>
  <c r="I78" i="4"/>
  <c r="I79" i="4" s="1"/>
  <c r="I81" i="4" s="1"/>
  <c r="C25" i="8"/>
  <c r="A35" i="8" s="1"/>
  <c r="B10" i="8"/>
  <c r="C10" i="8" s="1"/>
  <c r="C9" i="8"/>
  <c r="B11" i="8" l="1"/>
  <c r="B12" i="8" l="1"/>
  <c r="C11" i="8"/>
  <c r="B13" i="8" l="1"/>
  <c r="C13" i="8" s="1"/>
  <c r="C12" i="8"/>
  <c r="B14" i="8" l="1"/>
  <c r="B15" i="8" l="1"/>
  <c r="C14" i="8"/>
  <c r="B16" i="8" l="1"/>
  <c r="C15" i="8"/>
  <c r="B17" i="8" l="1"/>
  <c r="C16" i="8"/>
  <c r="B18" i="8" l="1"/>
  <c r="C17" i="8"/>
  <c r="B19" i="8" l="1"/>
  <c r="C19" i="8" s="1"/>
  <c r="C18" i="8"/>
  <c r="B20" i="8" l="1"/>
  <c r="C20" i="8" s="1"/>
  <c r="C22" i="8" s="1"/>
  <c r="C24" i="8" s="1"/>
  <c r="C26" i="8" s="1"/>
  <c r="C28" i="8" s="1"/>
  <c r="T26" i="8" l="1"/>
  <c r="T34" i="8" s="1"/>
  <c r="T38" i="8" s="1"/>
  <c r="T42" i="8" l="1"/>
  <c r="T46" i="8" s="1"/>
  <c r="T50" i="8" s="1"/>
  <c r="T37" i="8"/>
  <c r="T54" i="8" l="1"/>
  <c r="T58" i="8" s="1"/>
  <c r="C29" i="8"/>
  <c r="C30" i="8" s="1"/>
  <c r="C31" i="8" s="1"/>
  <c r="D50" i="8" l="1"/>
  <c r="D49" i="8"/>
  <c r="D59" i="8"/>
  <c r="D57" i="8"/>
  <c r="D53" i="8"/>
  <c r="D52" i="8"/>
  <c r="D55" i="8"/>
  <c r="D51" i="8"/>
  <c r="D56" i="8"/>
  <c r="D54" i="8"/>
  <c r="D60" i="8"/>
  <c r="D58" i="8"/>
  <c r="T62" i="8"/>
  <c r="T57" i="8"/>
  <c r="C49" i="8" l="1"/>
  <c r="B49" i="8" s="1"/>
  <c r="C50" i="8" s="1"/>
  <c r="B50" i="8" s="1"/>
  <c r="C51" i="8" s="1"/>
  <c r="B51" i="8" s="1"/>
  <c r="C52" i="8" s="1"/>
  <c r="B52" i="8" s="1"/>
  <c r="C53" i="8" s="1"/>
  <c r="B53" i="8" s="1"/>
  <c r="D62" i="8"/>
  <c r="C54" i="8" l="1"/>
  <c r="B54" i="8" s="1"/>
  <c r="C55" i="8" l="1"/>
  <c r="B55" i="8" s="1"/>
  <c r="C56" i="8" l="1"/>
  <c r="B56" i="8" s="1"/>
  <c r="C57" i="8" l="1"/>
  <c r="B57" i="8" s="1"/>
  <c r="C58" i="8" l="1"/>
  <c r="B58" i="8" s="1"/>
  <c r="C59" i="8" l="1"/>
  <c r="B59" i="8" s="1"/>
  <c r="C60" i="8" l="1"/>
  <c r="B60" i="8" s="1"/>
  <c r="C32" i="8" s="1"/>
</calcChain>
</file>

<file path=xl/comments1.xml><?xml version="1.0" encoding="utf-8"?>
<comments xmlns="http://schemas.openxmlformats.org/spreadsheetml/2006/main">
  <authors>
    <author>Author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2015 actual 122 billed usage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78" authorId="0" shapeId="0">
      <text>
        <r>
          <rPr>
            <b/>
            <sz val="9"/>
            <color indexed="81"/>
            <rFont val="Tahoma"/>
            <charset val="1"/>
          </rPr>
          <t>Tara Knox:</t>
        </r>
        <r>
          <rPr>
            <sz val="9"/>
            <color indexed="81"/>
            <rFont val="Tahoma"/>
            <charset val="1"/>
          </rPr>
          <t xml:space="preserve">
Adjusted for 10/31/2017 balance remaining due to rounding error.</t>
        </r>
      </text>
    </comment>
  </commentList>
</comments>
</file>

<file path=xl/sharedStrings.xml><?xml version="1.0" encoding="utf-8"?>
<sst xmlns="http://schemas.openxmlformats.org/spreadsheetml/2006/main" count="591" uniqueCount="194">
  <si>
    <t>Avista Utilities</t>
  </si>
  <si>
    <t>Calculation of Decoupling Mechanism Surcharge or Rebate Amortization Rates</t>
  </si>
  <si>
    <t>Effective November 1, 2016 - October 31, 2017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</si>
  <si>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</si>
  <si>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</si>
  <si>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</si>
  <si>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</si>
  <si>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</si>
  <si>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</si>
  <si>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</si>
  <si>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</si>
  <si>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</si>
  <si>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</si>
  <si>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</si>
  <si>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</si>
  <si>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Surcharge Rate</t>
  </si>
  <si>
    <t>Non-Residential Natural Gas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</si>
  <si>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</si>
  <si>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</si>
  <si>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</si>
  <si>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</si>
  <si>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</si>
  <si>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</si>
  <si>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</si>
  <si>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</si>
  <si>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</si>
  <si>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</si>
  <si>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</si>
  <si>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</si>
  <si>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</si>
  <si>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</si>
  <si>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</si>
  <si>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</si>
  <si>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</si>
  <si>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</si>
  <si>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</si>
  <si>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</si>
  <si>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</si>
  <si>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</si>
  <si>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</si>
  <si>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</si>
  <si>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</si>
  <si>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</si>
  <si>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</si>
  <si>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UE-160228 current GRC</t>
  </si>
  <si>
    <t>TWELVE MONTHS ENDED December 31, 2015</t>
  </si>
  <si>
    <t>2015 Commission Basis Conversion Factor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</si>
  <si>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</si>
  <si>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</si>
  <si>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</si>
  <si>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</si>
  <si>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</si>
  <si>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Residential Electric</t>
  </si>
  <si>
    <t>Non-Residential Electric</t>
  </si>
  <si>
    <t>Decoupling Mechanism Earnings Test and 3% Test</t>
  </si>
  <si>
    <t>2015 Deferrals</t>
  </si>
  <si>
    <t>2015 Commission Basis Earnings Test for Decoupling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</si>
  <si>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</si>
  <si>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</si>
  <si>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</si>
  <si>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</si>
  <si>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</si>
  <si>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</si>
  <si>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</si>
  <si>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</si>
  <si>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</si>
  <si>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</si>
  <si>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</si>
  <si>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2015 Total Earnings Test Sharing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</si>
  <si>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</si>
  <si>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</si>
  <si>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</si>
  <si>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</si>
  <si>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</si>
  <si>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</si>
  <si>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</si>
  <si>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Rebate Rate</t>
  </si>
  <si>
    <t>Present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</si>
  <si>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</si>
  <si>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</si>
  <si>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</si>
  <si>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</si>
  <si>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</si>
  <si>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</si>
  <si>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</si>
  <si>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</si>
  <si>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Revenue From 2015 Normalized Loads and Customers at Present Billing Rates</t>
  </si>
  <si>
    <t>November 2016 - October 2017 Usage</t>
  </si>
  <si>
    <t>3% Test Rate Adjustment (4)</t>
  </si>
  <si>
    <t>Final Proposed Decoupling Rate</t>
  </si>
  <si>
    <t>Estimated Carryover Balance (5)</t>
  </si>
  <si>
    <t>Notes</t>
  </si>
  <si>
    <t>(2)  Interest computed on average balance between beginning and end of month at the
      present FERC rate.  The FERC interest rate is updated quarterly.</t>
  </si>
  <si>
    <t>Calculate Estimated Monthly Balances through October 2017</t>
  </si>
  <si>
    <t>Calculate Estimated Monthly Balance through October 2017</t>
  </si>
  <si>
    <t>Amortization</t>
  </si>
  <si>
    <t>Adjusted for Revenue Related Expenses</t>
  </si>
  <si>
    <t>http://www.ferc.gov/enforcement/acct-matts/interest-rates.asp</t>
  </si>
  <si>
    <t>3.25% / 3.46%</t>
  </si>
  <si>
    <t>Estimated Carryover Balance due to 3% test (5)</t>
  </si>
  <si>
    <t>Preliminary Proposed Decoupling Rate</t>
  </si>
  <si>
    <t>(3)  2015 Commission Basis conversion factor, see page ? of  Attachment ?.</t>
  </si>
  <si>
    <t>(4)  See pages ? and ? of Attachment ? for earnings test and 3% test adjustment calculations.</t>
  </si>
  <si>
    <t>(5)  See page ? of Attachment ? for estimated carryover balance calculations.</t>
  </si>
  <si>
    <t>Earnings Sharing Adjustment</t>
  </si>
  <si>
    <t>Adjusted December Balance</t>
  </si>
  <si>
    <t>3% Test Adjustment (1)</t>
  </si>
  <si>
    <t>(1)  The carryover balances will differ from the 3% adjustment amounts due to the revenue related expense
      gross up partially offset by additional interest on the outstanding balance during the amortization period.</t>
  </si>
  <si>
    <t xml:space="preserve">  Non-Residential</t>
  </si>
  <si>
    <t>Effective November 1, 2017 - October 31, 2018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</si>
  <si>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</si>
  <si>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</si>
  <si>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</si>
  <si>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</si>
  <si>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</si>
  <si>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</si>
  <si>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</si>
  <si>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</si>
  <si>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Revenue From 2016 Normalized Loads and Customers at Present (2017 summer) Billing Rates</t>
  </si>
  <si>
    <t>RES</t>
  </si>
  <si>
    <t>Non-RES</t>
  </si>
  <si>
    <t>Sch 122 Exclusion</t>
  </si>
  <si>
    <t>Washington Natural Gas</t>
  </si>
  <si>
    <t>Calendar Load Tab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</si>
  <si>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</si>
  <si>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</si>
  <si>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</si>
  <si>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</si>
  <si>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</si>
  <si>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</si>
  <si>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</si>
  <si>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</si>
  <si>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WA028</t>
  </si>
  <si>
    <t>WA031</t>
  </si>
  <si>
    <t>WA032</t>
  </si>
  <si>
    <t>WA04X</t>
  </si>
  <si>
    <t>Idaho Electric</t>
  </si>
  <si>
    <t>Idaho Natural Gas</t>
  </si>
  <si>
    <t>Oregon Natural Gas</t>
  </si>
  <si>
    <t>ID001</t>
  </si>
  <si>
    <t>ID011</t>
  </si>
  <si>
    <t>ID012</t>
  </si>
  <si>
    <t>ID021</t>
  </si>
  <si>
    <t>ID022</t>
  </si>
  <si>
    <t>ID025</t>
  </si>
  <si>
    <t>ID025P</t>
  </si>
  <si>
    <t>ID031</t>
  </si>
  <si>
    <t>ID032</t>
  </si>
  <si>
    <t>ID04X</t>
  </si>
  <si>
    <t>ID101</t>
  </si>
  <si>
    <t>ID111</t>
  </si>
  <si>
    <t>ID132</t>
  </si>
  <si>
    <t>ID146</t>
  </si>
  <si>
    <t>ID147</t>
  </si>
  <si>
    <t>ID159</t>
  </si>
  <si>
    <t>OR410</t>
  </si>
  <si>
    <t>OR420</t>
  </si>
  <si>
    <t>OR424</t>
  </si>
  <si>
    <t>OR440</t>
  </si>
  <si>
    <t>OR444</t>
  </si>
  <si>
    <t>OR447</t>
  </si>
  <si>
    <t>OR456</t>
  </si>
  <si>
    <t>3.25% Q1 2016 3.46% Q2 2016  3.50% Q3 2016</t>
  </si>
  <si>
    <t>August 1, 2016 Effective Billing Rates</t>
  </si>
  <si>
    <t>New Load Forecast</t>
  </si>
  <si>
    <t>(1)  The carryover balances will differ from the 3% adjustment amounts due to the revenue related expense gross up partially offset by additional interest on the outstanding balance during the amortization period.</t>
  </si>
  <si>
    <t>Line No.</t>
  </si>
  <si>
    <t xml:space="preserve">Total </t>
  </si>
  <si>
    <t>2015 Deferred Revenue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</si>
  <si>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</si>
  <si>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</si>
  <si>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</si>
  <si>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</si>
  <si>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</si>
  <si>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</si>
  <si>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</si>
  <si>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</si>
  <si>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</si>
  <si>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</si>
  <si>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</si>
  <si>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2015 Commission Basis conversion factor, see page 7 of  Attachment A.</t>
  </si>
  <si>
    <t>See pages 5 and 6 of Attachment A for earnings test and 3% test adjustment calculations.</t>
  </si>
  <si>
    <t>See page 2 of Attachment A for estimated carryover balance calculations.</t>
  </si>
  <si>
    <t>Forecast Usage</t>
  </si>
  <si>
    <t>Add Interest through 10/31/2017</t>
  </si>
  <si>
    <t xml:space="preserve">     Total Requested Recovery</t>
  </si>
  <si>
    <t xml:space="preserve">     Total Requested Refund</t>
  </si>
  <si>
    <t>Add Revenue Related Expense Adj.</t>
  </si>
  <si>
    <t>Customer Rebate Revenue</t>
  </si>
  <si>
    <t>EREV July 7 15 16_DSM rate change for 8 1 16.xlsm</t>
  </si>
  <si>
    <t>GSFM v1 07 01 July (7.15.16 pricing)_storage equation update.xlsm</t>
  </si>
  <si>
    <t xml:space="preserve"> Forecast Usage</t>
  </si>
  <si>
    <t>November 2017 - October 2018 Usage</t>
  </si>
  <si>
    <t>See page 4 of Attachment A for estimated carryover balance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</si>
</sst>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6" fillId="3" borderId="3" xfId="0" applyNumberFormat="1" applyFont="1" applyFill="1" applyBorder="1"/>
    <xf numFmtId="166" fontId="6" fillId="0" borderId="5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5" fillId="0" borderId="0" xfId="4" applyNumberFormat="1" applyFont="1"/>
    <xf numFmtId="166" fontId="7" fillId="0" borderId="0" xfId="4" applyNumberFormat="1" applyFont="1"/>
    <xf numFmtId="166" fontId="10" fillId="0" borderId="0" xfId="0" applyNumberFormat="1" applyFont="1"/>
    <xf numFmtId="166" fontId="5" fillId="0" borderId="2" xfId="0" applyNumberFormat="1" applyFont="1" applyBorder="1"/>
    <xf numFmtId="166" fontId="5" fillId="0" borderId="5" xfId="0" applyNumberFormat="1" applyFont="1" applyBorder="1"/>
    <xf numFmtId="0" fontId="0" fillId="0" borderId="0" xfId="0" applyBorder="1" applyAlignment="1">
      <alignment horizontal="center" wrapText="1"/>
    </xf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2" fillId="0" borderId="0" xfId="2" applyNumberFormat="1" applyFont="1" applyBorder="1"/>
    <xf numFmtId="9" fontId="0" fillId="0" borderId="0" xfId="0" applyNumberFormat="1"/>
    <xf numFmtId="169" fontId="11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11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11" fillId="0" borderId="0" xfId="2" applyNumberFormat="1" applyFont="1"/>
    <xf numFmtId="169" fontId="11" fillId="0" borderId="0" xfId="0" applyNumberFormat="1" applyFont="1" applyBorder="1"/>
    <xf numFmtId="167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11" fillId="0" borderId="0" xfId="0" applyNumberFormat="1" applyFont="1" applyBorder="1"/>
    <xf numFmtId="5" fontId="11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3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171" fontId="0" fillId="0" borderId="0" xfId="0" applyNumberFormat="1"/>
    <xf numFmtId="0" fontId="14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0" xfId="0" applyFo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1" applyNumberFormat="1" applyFont="1"/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169" fontId="0" fillId="0" borderId="0" xfId="0" applyNumberForma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quotePrefix="1" applyBorder="1" applyAlignment="1">
      <alignment horizontal="justify" wrapText="1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justify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quotePrefix="1" applyAlignment="1">
      <alignment horizontal="left" wrapText="1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/>
    <cellStyle name="Normal 2 2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ferc.gov/enforcement/acct-matts/interest-rates.as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www.ferc.gov/enforcement/acct-matts/interest-rates.asp" TargetMode="External"/><Relationship Id="rId1" Type="http://schemas.openxmlformats.org/officeDocument/2006/relationships/hyperlink" Target="http://www.ferc.gov/enforcement/acct-matts/interest-rate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BL66"/>
  <sheetViews>
    <sheetView tabSelected="1" workbookViewId="0">
      <selection activeCell="J5" sqref="J5:J16"/>
    </sheetView>
  </sheetViews>
  <sheetFormatPr defaultRowHeight="14.4" outlineLevelCol="1" x14ac:dyDescent="0.3"/>
  <cols>
    <col min="2" max="2" width="3.6640625" customWidth="1"/>
    <col min="3" max="3" width="13.6640625" customWidth="1" outlineLevel="1"/>
    <col min="4" max="4" width="12.5546875" customWidth="1" outlineLevel="1"/>
    <col min="5" max="6" width="11.109375" customWidth="1" outlineLevel="1"/>
    <col min="7" max="8" width="12.5546875" customWidth="1" outlineLevel="1"/>
    <col min="9" max="9" width="2.109375" customWidth="1"/>
    <col min="11" max="11" width="2.109375" customWidth="1"/>
    <col min="12" max="12" width="11" bestFit="1" customWidth="1"/>
    <col min="13" max="13" width="10" bestFit="1" customWidth="1"/>
    <col min="14" max="14" width="2.6640625" customWidth="1"/>
    <col min="15" max="15" width="12" hidden="1" customWidth="1" outlineLevel="1"/>
    <col min="16" max="16" width="11" hidden="1" customWidth="1" outlineLevel="1"/>
    <col min="17" max="17" width="10" hidden="1" customWidth="1" outlineLevel="1"/>
    <col min="18" max="18" width="12" hidden="1" customWidth="1" outlineLevel="1"/>
    <col min="19" max="19" width="10" hidden="1" customWidth="1" outlineLevel="1"/>
    <col min="20" max="20" width="12" hidden="1" customWidth="1" outlineLevel="1"/>
    <col min="21" max="21" width="6.88671875" hidden="1" customWidth="1" outlineLevel="1"/>
    <col min="22" max="22" width="11" hidden="1" customWidth="1" outlineLevel="1"/>
    <col min="23" max="24" width="10" hidden="1" customWidth="1" outlineLevel="1"/>
    <col min="25" max="25" width="2.5546875" customWidth="1" collapsed="1"/>
    <col min="26" max="27" width="12" bestFit="1" customWidth="1"/>
    <col min="28" max="28" width="3" customWidth="1"/>
    <col min="29" max="29" width="12" hidden="1" customWidth="1" outlineLevel="1"/>
    <col min="30" max="30" width="11" hidden="1" customWidth="1" outlineLevel="1"/>
    <col min="31" max="31" width="10" hidden="1" customWidth="1" outlineLevel="1"/>
    <col min="32" max="32" width="11" hidden="1" customWidth="1" outlineLevel="1"/>
    <col min="33" max="33" width="8.5546875" hidden="1" customWidth="1" outlineLevel="1"/>
    <col min="34" max="35" width="11" hidden="1" customWidth="1" outlineLevel="1"/>
    <col min="36" max="36" width="10" hidden="1" customWidth="1" outlineLevel="1"/>
    <col min="37" max="37" width="8.5546875" hidden="1" customWidth="1" outlineLevel="1"/>
    <col min="38" max="38" width="10" hidden="1" customWidth="1" outlineLevel="1"/>
    <col min="39" max="39" width="2" customWidth="1" collapsed="1"/>
    <col min="40" max="40" width="12.6640625" customWidth="1"/>
    <col min="41" max="41" width="12.88671875" customWidth="1"/>
    <col min="42" max="42" width="3.33203125" customWidth="1"/>
    <col min="43" max="43" width="11.44140625" hidden="1" customWidth="1" outlineLevel="1"/>
    <col min="44" max="44" width="10.6640625" hidden="1" customWidth="1" outlineLevel="1"/>
    <col min="45" max="45" width="9.33203125" hidden="1" customWidth="1" outlineLevel="1"/>
    <col min="46" max="46" width="9.6640625" hidden="1" customWidth="1" outlineLevel="1"/>
    <col min="47" max="47" width="10.33203125" hidden="1" customWidth="1" outlineLevel="1"/>
    <col min="48" max="48" width="10.88671875" hidden="1" customWidth="1" outlineLevel="1"/>
    <col min="49" max="49" width="2" customWidth="1" collapsed="1"/>
    <col min="50" max="51" width="10.88671875" customWidth="1"/>
    <col min="52" max="52" width="2.5546875" customWidth="1"/>
    <col min="53" max="53" width="10.33203125" hidden="1" customWidth="1" outlineLevel="1"/>
    <col min="54" max="54" width="11" hidden="1" customWidth="1" outlineLevel="1"/>
    <col min="55" max="55" width="9.6640625" hidden="1" customWidth="1" outlineLevel="1"/>
    <col min="56" max="56" width="9.44140625" hidden="1" customWidth="1" outlineLevel="1"/>
    <col min="57" max="57" width="9.33203125" hidden="1" customWidth="1" outlineLevel="1"/>
    <col min="58" max="58" width="9.6640625" hidden="1" customWidth="1" outlineLevel="1"/>
    <col min="59" max="59" width="10.5546875" hidden="1" customWidth="1" outlineLevel="1"/>
    <col min="60" max="60" width="2.44140625" customWidth="1" collapsed="1"/>
    <col min="61" max="62" width="10" bestFit="1" customWidth="1"/>
  </cols>
  <sheetData>
    <row r="1" spans="1:64" x14ac:dyDescent="0.3">
      <c r="A1" s="113"/>
      <c r="B1" s="86" t="s">
        <v>190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 t="s">
        <v>189</v>
      </c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 t="str">
        <f>N1</f>
        <v>EREV July 7 15 16_DSM rate change for 8 1 16.xlsm</v>
      </c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 t="str">
        <f>B1</f>
        <v>GSFM v1 07 01 July (7.15.16 pricing)_storage equation update.xlsm</v>
      </c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64" x14ac:dyDescent="0.3">
      <c r="A2" s="113"/>
      <c r="B2" t="s">
        <v>116</v>
      </c>
      <c r="N2" t="s">
        <v>123</v>
      </c>
      <c r="AC2" t="s">
        <v>123</v>
      </c>
      <c r="AP2" t="s">
        <v>116</v>
      </c>
    </row>
    <row r="3" spans="1:64" x14ac:dyDescent="0.3">
      <c r="A3" s="84"/>
      <c r="B3" s="84"/>
      <c r="C3" s="84" t="s">
        <v>117</v>
      </c>
      <c r="J3" s="114" t="s">
        <v>121</v>
      </c>
      <c r="K3" s="92"/>
      <c r="L3" s="111" t="s">
        <v>122</v>
      </c>
      <c r="M3" s="112"/>
      <c r="O3" s="89" t="s">
        <v>124</v>
      </c>
      <c r="Z3" s="111" t="s">
        <v>125</v>
      </c>
      <c r="AA3" s="112"/>
      <c r="AC3" s="89" t="s">
        <v>124</v>
      </c>
      <c r="AN3" s="111" t="s">
        <v>136</v>
      </c>
      <c r="AO3" s="112"/>
      <c r="AQ3" s="84" t="s">
        <v>117</v>
      </c>
      <c r="AX3" s="111" t="s">
        <v>137</v>
      </c>
      <c r="AY3" s="112"/>
      <c r="BI3" s="111" t="s">
        <v>138</v>
      </c>
      <c r="BJ3" s="112"/>
    </row>
    <row r="4" spans="1:64" x14ac:dyDescent="0.3">
      <c r="C4" s="90" t="s">
        <v>110</v>
      </c>
      <c r="D4" s="90" t="s">
        <v>111</v>
      </c>
      <c r="E4" s="90" t="s">
        <v>112</v>
      </c>
      <c r="F4" s="90" t="s">
        <v>113</v>
      </c>
      <c r="G4" s="90" t="s">
        <v>114</v>
      </c>
      <c r="H4" s="90" t="s">
        <v>115</v>
      </c>
      <c r="J4" s="114"/>
      <c r="K4" s="92"/>
      <c r="L4" s="87" t="s">
        <v>119</v>
      </c>
      <c r="M4" s="88" t="s">
        <v>120</v>
      </c>
      <c r="O4" s="90" t="s">
        <v>126</v>
      </c>
      <c r="P4" s="90" t="s">
        <v>127</v>
      </c>
      <c r="Q4" s="90" t="s">
        <v>128</v>
      </c>
      <c r="R4" s="90" t="s">
        <v>129</v>
      </c>
      <c r="S4" s="90" t="s">
        <v>130</v>
      </c>
      <c r="T4" s="90" t="s">
        <v>131</v>
      </c>
      <c r="U4" s="90" t="s">
        <v>132</v>
      </c>
      <c r="V4" s="90" t="s">
        <v>133</v>
      </c>
      <c r="W4" s="90" t="s">
        <v>134</v>
      </c>
      <c r="X4" s="90" t="s">
        <v>135</v>
      </c>
      <c r="Z4" s="87" t="s">
        <v>119</v>
      </c>
      <c r="AA4" s="88" t="s">
        <v>120</v>
      </c>
      <c r="AC4" s="90" t="s">
        <v>139</v>
      </c>
      <c r="AD4" s="90" t="s">
        <v>140</v>
      </c>
      <c r="AE4" s="90" t="s">
        <v>141</v>
      </c>
      <c r="AF4" s="90" t="s">
        <v>142</v>
      </c>
      <c r="AG4" s="90" t="s">
        <v>143</v>
      </c>
      <c r="AH4" s="90" t="s">
        <v>144</v>
      </c>
      <c r="AI4" s="90" t="s">
        <v>145</v>
      </c>
      <c r="AJ4" s="90" t="s">
        <v>146</v>
      </c>
      <c r="AK4" s="90" t="s">
        <v>147</v>
      </c>
      <c r="AL4" s="90" t="s">
        <v>148</v>
      </c>
      <c r="AN4" s="87" t="s">
        <v>119</v>
      </c>
      <c r="AO4" s="88" t="s">
        <v>120</v>
      </c>
      <c r="AQ4" s="90" t="s">
        <v>149</v>
      </c>
      <c r="AR4" s="90" t="s">
        <v>150</v>
      </c>
      <c r="AS4" s="90" t="s">
        <v>151</v>
      </c>
      <c r="AT4" s="90" t="s">
        <v>152</v>
      </c>
      <c r="AU4" s="90" t="s">
        <v>153</v>
      </c>
      <c r="AV4" s="90" t="s">
        <v>154</v>
      </c>
      <c r="AW4" s="90"/>
      <c r="AX4" s="87" t="s">
        <v>119</v>
      </c>
      <c r="AY4" s="88" t="s">
        <v>120</v>
      </c>
      <c r="AZ4" s="90"/>
      <c r="BA4" s="90" t="s">
        <v>155</v>
      </c>
      <c r="BB4" s="90" t="s">
        <v>156</v>
      </c>
      <c r="BC4" s="90" t="s">
        <v>157</v>
      </c>
      <c r="BD4" s="90" t="s">
        <v>158</v>
      </c>
      <c r="BE4" s="90" t="s">
        <v>159</v>
      </c>
      <c r="BF4" s="90" t="s">
        <v>160</v>
      </c>
      <c r="BG4" s="90" t="s">
        <v>161</v>
      </c>
      <c r="BI4" s="87" t="s">
        <v>119</v>
      </c>
      <c r="BJ4" s="88" t="s">
        <v>120</v>
      </c>
    </row>
    <row r="5" spans="1:64" x14ac:dyDescent="0.3">
      <c r="A5" s="83">
        <v>42675</v>
      </c>
      <c r="C5" s="59">
        <v>14326262.84568643</v>
      </c>
      <c r="D5" s="59">
        <v>5906510.9254092127</v>
      </c>
      <c r="E5" s="59">
        <v>587259.43283631117</v>
      </c>
      <c r="F5" s="59">
        <v>103040.38909748029</v>
      </c>
      <c r="G5" s="59">
        <v>2651527.3680128232</v>
      </c>
      <c r="H5" s="59">
        <v>3946421</v>
      </c>
      <c r="J5" s="93">
        <v>47656.267999999996</v>
      </c>
      <c r="K5" s="59"/>
      <c r="L5" s="64">
        <f>C5</f>
        <v>14326262.84568643</v>
      </c>
      <c r="M5" s="64">
        <f>D5+E5-J5</f>
        <v>6446114.0902455235</v>
      </c>
      <c r="O5" s="59">
        <v>225272779.60054439</v>
      </c>
      <c r="P5" s="59">
        <v>46768729.590276025</v>
      </c>
      <c r="Q5" s="59">
        <v>5318345.6393543109</v>
      </c>
      <c r="R5" s="59">
        <v>113981304.61643496</v>
      </c>
      <c r="S5" s="59">
        <v>2837814.9524506642</v>
      </c>
      <c r="T5" s="59">
        <v>95574069.375142276</v>
      </c>
      <c r="U5" s="59">
        <v>0</v>
      </c>
      <c r="V5" s="59">
        <v>4365402.5042725373</v>
      </c>
      <c r="W5" s="59">
        <v>308612.38115307927</v>
      </c>
      <c r="X5" s="59">
        <v>1915240.2775642071</v>
      </c>
      <c r="Z5" s="64">
        <f>O5</f>
        <v>225272779.60054439</v>
      </c>
      <c r="AA5" s="64">
        <f>SUM(P5:S5,V5:W5)</f>
        <v>173580209.68394157</v>
      </c>
      <c r="AC5" s="64">
        <v>114030836.19332975</v>
      </c>
      <c r="AD5" s="64">
        <v>29011560.406693213</v>
      </c>
      <c r="AE5" s="64">
        <v>2464450.3694422683</v>
      </c>
      <c r="AF5" s="64">
        <v>53486557.932213791</v>
      </c>
      <c r="AG5" s="64">
        <v>754019.82328936621</v>
      </c>
      <c r="AH5" s="64">
        <v>31048098.333333336</v>
      </c>
      <c r="AI5" s="64">
        <v>29000000</v>
      </c>
      <c r="AJ5" s="64">
        <v>3080391.2972627776</v>
      </c>
      <c r="AK5" s="64">
        <v>210347.69531407981</v>
      </c>
      <c r="AL5" s="64">
        <v>1148834</v>
      </c>
      <c r="AN5" s="64">
        <f>AC5</f>
        <v>114030836.19332975</v>
      </c>
      <c r="AO5" s="64">
        <f>SUM(AD5:AG5,AJ5:AK5)</f>
        <v>89007327.52421549</v>
      </c>
      <c r="AQ5" s="59">
        <v>6910394.3752167821</v>
      </c>
      <c r="AR5" s="59">
        <v>2813238.865068512</v>
      </c>
      <c r="AS5" s="59">
        <v>0</v>
      </c>
      <c r="AT5" s="59">
        <v>271542.7478963965</v>
      </c>
      <c r="AU5" s="59">
        <v>116932</v>
      </c>
      <c r="AV5" s="59">
        <v>3115836</v>
      </c>
      <c r="AW5" s="59"/>
      <c r="AX5" s="59">
        <f>AQ5</f>
        <v>6910394.3752167821</v>
      </c>
      <c r="AY5" s="59">
        <f>AR5</f>
        <v>2813238.865068512</v>
      </c>
      <c r="AZ5" s="59"/>
      <c r="BA5" s="59">
        <v>5514455.1391547974</v>
      </c>
      <c r="BB5" s="59">
        <v>3040426.9416110725</v>
      </c>
      <c r="BC5" s="59">
        <v>445069.12173107691</v>
      </c>
      <c r="BD5" s="59">
        <v>474381.57638965605</v>
      </c>
      <c r="BE5" s="59">
        <v>13679.712810194114</v>
      </c>
      <c r="BF5" s="59">
        <v>456932</v>
      </c>
      <c r="BG5" s="59">
        <v>3426417</v>
      </c>
      <c r="BI5" s="59">
        <f>BA5</f>
        <v>5514455.1391547974</v>
      </c>
      <c r="BJ5" s="59">
        <f>SUM(BB5:BE5)</f>
        <v>3973557.3525419994</v>
      </c>
    </row>
    <row r="6" spans="1:64" x14ac:dyDescent="0.3">
      <c r="A6" s="83">
        <v>42705</v>
      </c>
      <c r="C6" s="59">
        <v>20754658.066647906</v>
      </c>
      <c r="D6" s="59">
        <v>7414376.7300532283</v>
      </c>
      <c r="E6" s="59">
        <v>567267.66495753452</v>
      </c>
      <c r="F6" s="59">
        <v>126116.1066752878</v>
      </c>
      <c r="G6" s="59">
        <v>2908833.3951791967</v>
      </c>
      <c r="H6" s="59">
        <v>4318655</v>
      </c>
      <c r="J6" s="93">
        <v>74705.248000000007</v>
      </c>
      <c r="K6" s="59"/>
      <c r="L6" s="64">
        <f t="shared" ref="L6:L66" si="0">C6</f>
        <v>20754658.066647906</v>
      </c>
      <c r="M6" s="64">
        <f t="shared" ref="M6:M66" si="1">D6+E6-J6</f>
        <v>7906939.1470107632</v>
      </c>
      <c r="O6" s="59">
        <v>282774484.20710671</v>
      </c>
      <c r="P6" s="59">
        <v>52662076.68075224</v>
      </c>
      <c r="Q6" s="59">
        <v>6545796.7479618024</v>
      </c>
      <c r="R6" s="59">
        <v>121953361.46204746</v>
      </c>
      <c r="S6" s="59">
        <v>3321060.7160209832</v>
      </c>
      <c r="T6" s="59">
        <v>91248545.112479299</v>
      </c>
      <c r="U6" s="59">
        <v>0</v>
      </c>
      <c r="V6" s="59">
        <v>3975077.6706068935</v>
      </c>
      <c r="W6" s="59">
        <v>285482.29760741664</v>
      </c>
      <c r="X6" s="59">
        <v>1900764.9908403915</v>
      </c>
      <c r="Z6" s="64">
        <f t="shared" ref="Z6:Z66" si="2">O6</f>
        <v>282774484.20710671</v>
      </c>
      <c r="AA6" s="64">
        <f t="shared" ref="AA6:AA66" si="3">SUM(P6:S6,V6:W6)</f>
        <v>188742855.57499677</v>
      </c>
      <c r="AC6" s="64">
        <v>140133996.706469</v>
      </c>
      <c r="AD6" s="64">
        <v>33711775.086027563</v>
      </c>
      <c r="AE6" s="64">
        <v>3034363.9256781535</v>
      </c>
      <c r="AF6" s="64">
        <v>58277244.216175877</v>
      </c>
      <c r="AG6" s="64">
        <v>917903.67425006488</v>
      </c>
      <c r="AH6" s="64">
        <v>30334788.333333336</v>
      </c>
      <c r="AI6" s="64">
        <v>29000000</v>
      </c>
      <c r="AJ6" s="64">
        <v>3253888.6908811172</v>
      </c>
      <c r="AK6" s="64">
        <v>227025.97639229841</v>
      </c>
      <c r="AL6" s="64">
        <v>1145931</v>
      </c>
      <c r="AN6" s="64">
        <f t="shared" ref="AN6:AN66" si="4">AC6</f>
        <v>140133996.706469</v>
      </c>
      <c r="AO6" s="64">
        <f t="shared" ref="AO6:AO66" si="5">SUM(AD6:AG6,AJ6:AK6)</f>
        <v>99422201.569405079</v>
      </c>
      <c r="AQ6" s="59">
        <v>9813977.0625020247</v>
      </c>
      <c r="AR6" s="59">
        <v>3291100.9565795744</v>
      </c>
      <c r="AS6" s="59">
        <v>0</v>
      </c>
      <c r="AT6" s="59">
        <v>225558.48206176644</v>
      </c>
      <c r="AU6" s="59">
        <v>120103</v>
      </c>
      <c r="AV6" s="59">
        <v>4054467</v>
      </c>
      <c r="AW6" s="59"/>
      <c r="AX6" s="59">
        <f t="shared" ref="AX6:AY54" si="6">AQ6</f>
        <v>9813977.0625020247</v>
      </c>
      <c r="AY6" s="59">
        <f t="shared" si="6"/>
        <v>3291100.9565795744</v>
      </c>
      <c r="AZ6" s="59"/>
      <c r="BA6" s="59">
        <v>8284271.7192436848</v>
      </c>
      <c r="BB6" s="59">
        <v>4352389.7723697973</v>
      </c>
      <c r="BC6" s="59">
        <v>452887.16687004187</v>
      </c>
      <c r="BD6" s="59">
        <v>433264.24052753008</v>
      </c>
      <c r="BE6" s="59">
        <v>4219.8862793888056</v>
      </c>
      <c r="BF6" s="59">
        <v>424941</v>
      </c>
      <c r="BG6" s="59">
        <v>3460598</v>
      </c>
      <c r="BI6" s="59">
        <f t="shared" ref="BI6:BI66" si="7">BA6</f>
        <v>8284271.7192436848</v>
      </c>
      <c r="BJ6" s="59">
        <f t="shared" ref="BJ6:BJ66" si="8">SUM(BB6:BE6)</f>
        <v>5242761.0660467586</v>
      </c>
    </row>
    <row r="7" spans="1:64" x14ac:dyDescent="0.3">
      <c r="A7" s="83">
        <v>42736</v>
      </c>
      <c r="C7" s="59">
        <v>21475843.154275555</v>
      </c>
      <c r="D7" s="59">
        <v>7403087.3347587455</v>
      </c>
      <c r="E7" s="59">
        <v>586734.35362473433</v>
      </c>
      <c r="F7" s="59">
        <v>130283.50977571141</v>
      </c>
      <c r="G7" s="59">
        <v>3347001.2581088888</v>
      </c>
      <c r="H7" s="59">
        <v>4669265</v>
      </c>
      <c r="J7" s="93">
        <v>81674</v>
      </c>
      <c r="K7" s="59"/>
      <c r="L7" s="64">
        <f t="shared" si="0"/>
        <v>21475843.154275555</v>
      </c>
      <c r="M7" s="64">
        <f t="shared" si="1"/>
        <v>7908147.6883834796</v>
      </c>
      <c r="O7" s="59">
        <v>278662196.62096667</v>
      </c>
      <c r="P7" s="59">
        <v>52790799.195718072</v>
      </c>
      <c r="Q7" s="59">
        <v>6584008.0709627513</v>
      </c>
      <c r="R7" s="59">
        <v>119668248.17043832</v>
      </c>
      <c r="S7" s="59">
        <v>3345505.5247954372</v>
      </c>
      <c r="T7" s="59">
        <v>92172870.518793985</v>
      </c>
      <c r="U7" s="59">
        <v>0</v>
      </c>
      <c r="V7" s="59">
        <v>3949515.4362415043</v>
      </c>
      <c r="W7" s="59">
        <v>295180.75758830749</v>
      </c>
      <c r="X7" s="59">
        <v>1940754.9192654239</v>
      </c>
      <c r="Z7" s="64">
        <f t="shared" si="2"/>
        <v>278662196.62096667</v>
      </c>
      <c r="AA7" s="64">
        <f t="shared" si="3"/>
        <v>186633257.15574437</v>
      </c>
      <c r="AC7" s="64">
        <v>132803084.36162424</v>
      </c>
      <c r="AD7" s="64">
        <v>32796000.683893703</v>
      </c>
      <c r="AE7" s="64">
        <v>3012854.4537538197</v>
      </c>
      <c r="AF7" s="64">
        <v>56491141.996324487</v>
      </c>
      <c r="AG7" s="64">
        <v>892512.54064977868</v>
      </c>
      <c r="AH7" s="64">
        <v>31037402.333333336</v>
      </c>
      <c r="AI7" s="64">
        <v>34856933</v>
      </c>
      <c r="AJ7" s="64">
        <v>3253650.4919546507</v>
      </c>
      <c r="AK7" s="64">
        <v>233991.92123315018</v>
      </c>
      <c r="AL7" s="64">
        <v>1123170</v>
      </c>
      <c r="AN7" s="64">
        <f t="shared" si="4"/>
        <v>132803084.36162424</v>
      </c>
      <c r="AO7" s="64">
        <f t="shared" si="5"/>
        <v>96680152.087809592</v>
      </c>
      <c r="AQ7" s="59">
        <v>9674232.3681312539</v>
      </c>
      <c r="AR7" s="59">
        <v>3301345.7583267833</v>
      </c>
      <c r="AS7" s="59">
        <v>0</v>
      </c>
      <c r="AT7" s="59">
        <v>260376.99420808392</v>
      </c>
      <c r="AU7" s="59">
        <v>125122.99999999999</v>
      </c>
      <c r="AV7" s="59">
        <v>4438844</v>
      </c>
      <c r="AW7" s="59"/>
      <c r="AX7" s="59">
        <f t="shared" si="6"/>
        <v>9674232.3681312539</v>
      </c>
      <c r="AY7" s="59">
        <f t="shared" si="6"/>
        <v>3301345.7583267833</v>
      </c>
      <c r="AZ7" s="59"/>
      <c r="BA7" s="59">
        <v>8405221.0204841942</v>
      </c>
      <c r="BB7" s="59">
        <v>4305173.7060623784</v>
      </c>
      <c r="BC7" s="59">
        <v>405072.7077906552</v>
      </c>
      <c r="BD7" s="59">
        <v>398177.13849931158</v>
      </c>
      <c r="BE7" s="59">
        <v>3675.8702440344005</v>
      </c>
      <c r="BF7" s="59">
        <v>439800</v>
      </c>
      <c r="BG7" s="59">
        <v>3541658</v>
      </c>
      <c r="BI7" s="59">
        <f t="shared" si="7"/>
        <v>8405221.0204841942</v>
      </c>
      <c r="BJ7" s="59">
        <f t="shared" si="8"/>
        <v>5112099.4225963792</v>
      </c>
    </row>
    <row r="8" spans="1:64" x14ac:dyDescent="0.3">
      <c r="A8" s="83">
        <v>42767</v>
      </c>
      <c r="C8" s="59">
        <v>17478455.787618231</v>
      </c>
      <c r="D8" s="59">
        <v>6146863.2700790772</v>
      </c>
      <c r="E8" s="59">
        <v>558602.42485213513</v>
      </c>
      <c r="F8" s="59">
        <v>120885.13795508081</v>
      </c>
      <c r="G8" s="59">
        <v>3602837.8366440535</v>
      </c>
      <c r="H8" s="59">
        <v>4789912</v>
      </c>
      <c r="J8" s="93">
        <v>68846.467999999993</v>
      </c>
      <c r="K8" s="59"/>
      <c r="L8" s="64">
        <f t="shared" si="0"/>
        <v>17478455.787618231</v>
      </c>
      <c r="M8" s="64">
        <f t="shared" si="1"/>
        <v>6636619.2269312125</v>
      </c>
      <c r="O8" s="59">
        <v>226927614.73025692</v>
      </c>
      <c r="P8" s="59">
        <v>45055855.619589724</v>
      </c>
      <c r="Q8" s="59">
        <v>5430208.0790517591</v>
      </c>
      <c r="R8" s="59">
        <v>104014185.50910857</v>
      </c>
      <c r="S8" s="59">
        <v>2798937.913286739</v>
      </c>
      <c r="T8" s="59">
        <v>94246352.963665783</v>
      </c>
      <c r="U8" s="59">
        <v>0</v>
      </c>
      <c r="V8" s="59">
        <v>3394187.9365926674</v>
      </c>
      <c r="W8" s="59">
        <v>248612.70375742586</v>
      </c>
      <c r="X8" s="59">
        <v>1930312.8486250425</v>
      </c>
      <c r="Z8" s="64">
        <f t="shared" si="2"/>
        <v>226927614.73025692</v>
      </c>
      <c r="AA8" s="64">
        <f t="shared" si="3"/>
        <v>160941987.7613869</v>
      </c>
      <c r="AC8" s="64">
        <v>107403046.55301224</v>
      </c>
      <c r="AD8" s="64">
        <v>27514189.234384522</v>
      </c>
      <c r="AE8" s="64">
        <v>2438433.4440796943</v>
      </c>
      <c r="AF8" s="64">
        <v>48733453.873270705</v>
      </c>
      <c r="AG8" s="64">
        <v>748022.68156635202</v>
      </c>
      <c r="AH8" s="64">
        <v>31223020.333333336</v>
      </c>
      <c r="AI8" s="64">
        <v>32534762</v>
      </c>
      <c r="AJ8" s="64">
        <v>2834746.6725274497</v>
      </c>
      <c r="AK8" s="64">
        <v>195488.9376337491</v>
      </c>
      <c r="AL8" s="64">
        <v>1139690</v>
      </c>
      <c r="AN8" s="64">
        <f t="shared" si="4"/>
        <v>107403046.55301224</v>
      </c>
      <c r="AO8" s="64">
        <f t="shared" si="5"/>
        <v>82464334.843462482</v>
      </c>
      <c r="AQ8" s="59">
        <v>7656439.4733587792</v>
      </c>
      <c r="AR8" s="59">
        <v>2617432.9502124088</v>
      </c>
      <c r="AS8" s="59">
        <v>0</v>
      </c>
      <c r="AT8" s="59">
        <v>246683.30158308541</v>
      </c>
      <c r="AU8" s="59">
        <v>120108</v>
      </c>
      <c r="AV8" s="59">
        <v>3960005</v>
      </c>
      <c r="AW8" s="59"/>
      <c r="AX8" s="59">
        <f t="shared" si="6"/>
        <v>7656439.4733587792</v>
      </c>
      <c r="AY8" s="59">
        <f t="shared" si="6"/>
        <v>2617432.9502124088</v>
      </c>
      <c r="AZ8" s="59"/>
      <c r="BA8" s="59">
        <v>6286579.0308136111</v>
      </c>
      <c r="BB8" s="59">
        <v>3267633.7243785439</v>
      </c>
      <c r="BC8" s="59">
        <v>332608.48554959305</v>
      </c>
      <c r="BD8" s="59">
        <v>338094.4590180568</v>
      </c>
      <c r="BE8" s="59">
        <v>1.1220835768788491</v>
      </c>
      <c r="BF8" s="59">
        <v>492361</v>
      </c>
      <c r="BG8" s="59">
        <v>3925623</v>
      </c>
      <c r="BI8" s="59">
        <f t="shared" si="7"/>
        <v>6286579.0308136111</v>
      </c>
      <c r="BJ8" s="59">
        <f t="shared" si="8"/>
        <v>3938337.7910297704</v>
      </c>
    </row>
    <row r="9" spans="1:64" x14ac:dyDescent="0.3">
      <c r="A9" s="83">
        <v>42795</v>
      </c>
      <c r="C9" s="59">
        <v>14816803.702731106</v>
      </c>
      <c r="D9" s="59">
        <v>5257391.6639327323</v>
      </c>
      <c r="E9" s="59">
        <v>463110.46372486406</v>
      </c>
      <c r="F9" s="59">
        <v>107571.93189611979</v>
      </c>
      <c r="G9" s="59">
        <v>2992750.1369872298</v>
      </c>
      <c r="H9" s="59">
        <v>4285450</v>
      </c>
      <c r="J9" s="93">
        <v>57609.870999999999</v>
      </c>
      <c r="K9" s="59"/>
      <c r="L9" s="64">
        <f t="shared" si="0"/>
        <v>14816803.702731106</v>
      </c>
      <c r="M9" s="64">
        <f t="shared" si="1"/>
        <v>5662892.2566575957</v>
      </c>
      <c r="O9" s="59">
        <v>226907050.4764564</v>
      </c>
      <c r="P9" s="59">
        <v>47443215.139360219</v>
      </c>
      <c r="Q9" s="59">
        <v>5410765.5058033792</v>
      </c>
      <c r="R9" s="59">
        <v>112594134.88611805</v>
      </c>
      <c r="S9" s="59">
        <v>2886994.9541891599</v>
      </c>
      <c r="T9" s="59">
        <v>88769264.47603935</v>
      </c>
      <c r="U9" s="59">
        <v>0</v>
      </c>
      <c r="V9" s="59">
        <v>4280191.0352534931</v>
      </c>
      <c r="W9" s="59">
        <v>278625.72991582513</v>
      </c>
      <c r="X9" s="59">
        <v>1932066.9701437959</v>
      </c>
      <c r="Z9" s="64">
        <f t="shared" si="2"/>
        <v>226907050.4764564</v>
      </c>
      <c r="AA9" s="64">
        <f t="shared" si="3"/>
        <v>172893927.25064012</v>
      </c>
      <c r="AC9" s="64">
        <v>109426805.97775626</v>
      </c>
      <c r="AD9" s="64">
        <v>29191327.836740285</v>
      </c>
      <c r="AE9" s="64">
        <v>2430210.6152669447</v>
      </c>
      <c r="AF9" s="64">
        <v>53807413.135976315</v>
      </c>
      <c r="AG9" s="64">
        <v>775254.06955468515</v>
      </c>
      <c r="AH9" s="64">
        <v>29888841.333333336</v>
      </c>
      <c r="AI9" s="64">
        <v>35576585</v>
      </c>
      <c r="AJ9" s="64">
        <v>3208121.3039714308</v>
      </c>
      <c r="AK9" s="64">
        <v>178280.13097002351</v>
      </c>
      <c r="AL9" s="64">
        <v>1152592</v>
      </c>
      <c r="AN9" s="64">
        <f t="shared" si="4"/>
        <v>109426805.97775626</v>
      </c>
      <c r="AO9" s="64">
        <f t="shared" si="5"/>
        <v>89590607.092479676</v>
      </c>
      <c r="AQ9" s="59">
        <v>6797742.0774842408</v>
      </c>
      <c r="AR9" s="59">
        <v>2317973.255887683</v>
      </c>
      <c r="AS9" s="59">
        <v>0</v>
      </c>
      <c r="AT9" s="59">
        <v>212115.3038679965</v>
      </c>
      <c r="AU9" s="59">
        <v>108241</v>
      </c>
      <c r="AV9" s="59">
        <v>4131961</v>
      </c>
      <c r="AW9" s="59"/>
      <c r="AX9" s="59">
        <f t="shared" si="6"/>
        <v>6797742.0774842408</v>
      </c>
      <c r="AY9" s="59">
        <f t="shared" si="6"/>
        <v>2317973.255887683</v>
      </c>
      <c r="AZ9" s="59"/>
      <c r="BA9" s="59">
        <v>5650363.9959023083</v>
      </c>
      <c r="BB9" s="59">
        <v>2927398.8010674235</v>
      </c>
      <c r="BC9" s="59">
        <v>345854.07938767795</v>
      </c>
      <c r="BD9" s="59">
        <v>325127.72902630083</v>
      </c>
      <c r="BE9" s="59">
        <v>1087.8147463355929</v>
      </c>
      <c r="BF9" s="59">
        <v>492224</v>
      </c>
      <c r="BG9" s="59">
        <v>3614961</v>
      </c>
      <c r="BI9" s="59">
        <f t="shared" si="7"/>
        <v>5650363.9959023083</v>
      </c>
      <c r="BJ9" s="59">
        <f t="shared" si="8"/>
        <v>3599468.4242277378</v>
      </c>
    </row>
    <row r="10" spans="1:64" x14ac:dyDescent="0.3">
      <c r="A10" s="83">
        <v>42826</v>
      </c>
      <c r="C10" s="59">
        <v>8860313.7551366519</v>
      </c>
      <c r="D10" s="59">
        <v>3402439.5649932311</v>
      </c>
      <c r="E10" s="59">
        <v>344208.88542771619</v>
      </c>
      <c r="F10" s="59">
        <v>76092.550351075144</v>
      </c>
      <c r="G10" s="59">
        <v>3031276.8488704013</v>
      </c>
      <c r="H10" s="59">
        <v>4314390</v>
      </c>
      <c r="J10" s="93">
        <v>49630.597999999998</v>
      </c>
      <c r="K10" s="59"/>
      <c r="L10" s="64">
        <f t="shared" si="0"/>
        <v>8860313.7551366519</v>
      </c>
      <c r="M10" s="64">
        <f t="shared" si="1"/>
        <v>3697017.8524209475</v>
      </c>
      <c r="O10" s="59">
        <v>182981219.54929262</v>
      </c>
      <c r="P10" s="59">
        <v>41595477.245139062</v>
      </c>
      <c r="Q10" s="59">
        <v>4392286.0283189304</v>
      </c>
      <c r="R10" s="59">
        <v>103764698.36315191</v>
      </c>
      <c r="S10" s="59">
        <v>2508205.632813191</v>
      </c>
      <c r="T10" s="59">
        <v>94010448.082587257</v>
      </c>
      <c r="U10" s="59">
        <v>0</v>
      </c>
      <c r="V10" s="59">
        <v>6725155.5857165884</v>
      </c>
      <c r="W10" s="59">
        <v>498353.71901301702</v>
      </c>
      <c r="X10" s="59">
        <v>1936384.6124791126</v>
      </c>
      <c r="Z10" s="64">
        <f t="shared" si="2"/>
        <v>182981219.54929262</v>
      </c>
      <c r="AA10" s="64">
        <f t="shared" si="3"/>
        <v>159484176.57415268</v>
      </c>
      <c r="AC10" s="64">
        <v>89317882.123070151</v>
      </c>
      <c r="AD10" s="64">
        <v>25619531.180873718</v>
      </c>
      <c r="AE10" s="64">
        <v>1986617.4303196627</v>
      </c>
      <c r="AF10" s="64">
        <v>49559673.153387055</v>
      </c>
      <c r="AG10" s="64">
        <v>653184.24886270729</v>
      </c>
      <c r="AH10" s="64">
        <v>31459399.333333336</v>
      </c>
      <c r="AI10" s="64">
        <v>33489106</v>
      </c>
      <c r="AJ10" s="64">
        <v>3303060.6043403237</v>
      </c>
      <c r="AK10" s="64">
        <v>180328.42652826791</v>
      </c>
      <c r="AL10" s="64">
        <v>1137171</v>
      </c>
      <c r="AN10" s="64">
        <f t="shared" si="4"/>
        <v>89317882.123070151</v>
      </c>
      <c r="AO10" s="64">
        <f t="shared" si="5"/>
        <v>81302395.044311747</v>
      </c>
      <c r="AQ10" s="59">
        <v>4196766.0456694495</v>
      </c>
      <c r="AR10" s="59">
        <v>1429718.6811973494</v>
      </c>
      <c r="AS10" s="59">
        <v>0</v>
      </c>
      <c r="AT10" s="59">
        <v>219057.19519406237</v>
      </c>
      <c r="AU10" s="59">
        <v>120988</v>
      </c>
      <c r="AV10" s="59">
        <v>3647558</v>
      </c>
      <c r="AW10" s="59"/>
      <c r="AX10" s="59">
        <f t="shared" si="6"/>
        <v>4196766.0456694495</v>
      </c>
      <c r="AY10" s="59">
        <f t="shared" si="6"/>
        <v>1429718.6811973494</v>
      </c>
      <c r="AZ10" s="59"/>
      <c r="BA10" s="59">
        <v>4011187.2953740852</v>
      </c>
      <c r="BB10" s="59">
        <v>2019793.8987660694</v>
      </c>
      <c r="BC10" s="59">
        <v>272040.41244404396</v>
      </c>
      <c r="BD10" s="59">
        <v>275914.53523846337</v>
      </c>
      <c r="BE10" s="59">
        <v>901.11413144656206</v>
      </c>
      <c r="BF10" s="59">
        <v>508919</v>
      </c>
      <c r="BG10" s="59">
        <v>3691776</v>
      </c>
      <c r="BI10" s="59">
        <f t="shared" si="7"/>
        <v>4011187.2953740852</v>
      </c>
      <c r="BJ10" s="59">
        <f t="shared" si="8"/>
        <v>2568649.9605800235</v>
      </c>
    </row>
    <row r="11" spans="1:64" x14ac:dyDescent="0.3">
      <c r="A11" s="83">
        <v>42856</v>
      </c>
      <c r="C11" s="59">
        <v>4915533.920376447</v>
      </c>
      <c r="D11" s="59">
        <v>2130042.7518419796</v>
      </c>
      <c r="E11" s="59">
        <v>268006.98975540011</v>
      </c>
      <c r="F11" s="59">
        <v>57230.957565543264</v>
      </c>
      <c r="G11" s="59">
        <v>2524553.8530719294</v>
      </c>
      <c r="H11" s="59">
        <v>3898228</v>
      </c>
      <c r="J11" s="93">
        <v>46983.592000000004</v>
      </c>
      <c r="K11" s="59"/>
      <c r="L11" s="64">
        <f t="shared" si="0"/>
        <v>4915533.920376447</v>
      </c>
      <c r="M11" s="64">
        <f t="shared" si="1"/>
        <v>2351066.1495973794</v>
      </c>
      <c r="O11" s="59">
        <v>166620508.8949551</v>
      </c>
      <c r="P11" s="59">
        <v>41312428.097846732</v>
      </c>
      <c r="Q11" s="59">
        <v>4069764.7610023837</v>
      </c>
      <c r="R11" s="59">
        <v>108666994.22016501</v>
      </c>
      <c r="S11" s="59">
        <v>2456774.5272913864</v>
      </c>
      <c r="T11" s="59">
        <v>91191638.414562523</v>
      </c>
      <c r="U11" s="59">
        <v>0</v>
      </c>
      <c r="V11" s="59">
        <v>11985010.305198658</v>
      </c>
      <c r="W11" s="59">
        <v>805384.98415444221</v>
      </c>
      <c r="X11" s="59">
        <v>1932276.6040601493</v>
      </c>
      <c r="Z11" s="64">
        <f t="shared" si="2"/>
        <v>166620508.8949551</v>
      </c>
      <c r="AA11" s="64">
        <f t="shared" si="3"/>
        <v>169296356.89565861</v>
      </c>
      <c r="AC11" s="64">
        <v>80166172.244767666</v>
      </c>
      <c r="AD11" s="64">
        <v>25142277.279569902</v>
      </c>
      <c r="AE11" s="64">
        <v>1780230.2294579821</v>
      </c>
      <c r="AF11" s="64">
        <v>50652085.977469482</v>
      </c>
      <c r="AG11" s="64">
        <v>625876.64931656467</v>
      </c>
      <c r="AH11" s="64">
        <v>30265936.333333336</v>
      </c>
      <c r="AI11" s="64">
        <v>35613014</v>
      </c>
      <c r="AJ11" s="64">
        <v>4250149.8901261734</v>
      </c>
      <c r="AK11" s="64">
        <v>279589.7782210146</v>
      </c>
      <c r="AL11" s="64">
        <v>1130401</v>
      </c>
      <c r="AN11" s="64">
        <f t="shared" si="4"/>
        <v>80166172.244767666</v>
      </c>
      <c r="AO11" s="64">
        <f t="shared" si="5"/>
        <v>82730209.804161116</v>
      </c>
      <c r="AQ11" s="59">
        <v>2379681.9709799043</v>
      </c>
      <c r="AR11" s="59">
        <v>921757.95542267209</v>
      </c>
      <c r="AS11" s="59">
        <v>0</v>
      </c>
      <c r="AT11" s="59">
        <v>277250.65987144713</v>
      </c>
      <c r="AU11" s="59">
        <v>111044</v>
      </c>
      <c r="AV11" s="59">
        <v>3145688</v>
      </c>
      <c r="AW11" s="59"/>
      <c r="AX11" s="59">
        <f t="shared" si="6"/>
        <v>2379681.9709799043</v>
      </c>
      <c r="AY11" s="59">
        <f t="shared" si="6"/>
        <v>921757.95542267209</v>
      </c>
      <c r="AZ11" s="59"/>
      <c r="BA11" s="59">
        <v>2452125.7252645311</v>
      </c>
      <c r="BB11" s="59">
        <v>1298310.6020491675</v>
      </c>
      <c r="BC11" s="59">
        <v>230743.40033319293</v>
      </c>
      <c r="BD11" s="59">
        <v>229224.87014242407</v>
      </c>
      <c r="BE11" s="59">
        <v>528.22453030144209</v>
      </c>
      <c r="BF11" s="59">
        <v>497952</v>
      </c>
      <c r="BG11" s="59">
        <v>3486095</v>
      </c>
      <c r="BI11" s="59">
        <f t="shared" si="7"/>
        <v>2452125.7252645311</v>
      </c>
      <c r="BJ11" s="59">
        <f t="shared" si="8"/>
        <v>1758807.0970550859</v>
      </c>
    </row>
    <row r="12" spans="1:64" x14ac:dyDescent="0.3">
      <c r="A12" s="83">
        <v>42887</v>
      </c>
      <c r="C12" s="59">
        <v>2831758.8892396693</v>
      </c>
      <c r="D12" s="59">
        <v>1534043.3578015896</v>
      </c>
      <c r="E12" s="59">
        <v>244042.12226780527</v>
      </c>
      <c r="F12" s="59">
        <v>43641.170321857462</v>
      </c>
      <c r="G12" s="59">
        <v>2116735.569289274</v>
      </c>
      <c r="H12" s="59">
        <v>3570720</v>
      </c>
      <c r="J12" s="93">
        <v>30134.866000000002</v>
      </c>
      <c r="K12" s="59"/>
      <c r="L12" s="64">
        <f t="shared" si="0"/>
        <v>2831758.8892396693</v>
      </c>
      <c r="M12" s="64">
        <f t="shared" si="1"/>
        <v>1747950.614069395</v>
      </c>
      <c r="O12" s="59">
        <v>160129001.54783341</v>
      </c>
      <c r="P12" s="59">
        <v>42048746.119807862</v>
      </c>
      <c r="Q12" s="59">
        <v>3893004.5385896536</v>
      </c>
      <c r="R12" s="59">
        <v>112269432.04016073</v>
      </c>
      <c r="S12" s="59">
        <v>2404237.9964028625</v>
      </c>
      <c r="T12" s="59">
        <v>93264118.560468197</v>
      </c>
      <c r="U12" s="59">
        <v>0</v>
      </c>
      <c r="V12" s="59">
        <v>16486184.012660237</v>
      </c>
      <c r="W12" s="59">
        <v>1158498.4615861697</v>
      </c>
      <c r="X12" s="59">
        <v>1928522.7133235182</v>
      </c>
      <c r="Z12" s="64">
        <f t="shared" si="2"/>
        <v>160129001.54783341</v>
      </c>
      <c r="AA12" s="64">
        <f t="shared" si="3"/>
        <v>178260103.16920751</v>
      </c>
      <c r="AC12" s="64">
        <v>77181045.216073006</v>
      </c>
      <c r="AD12" s="64">
        <v>25640943.854915991</v>
      </c>
      <c r="AE12" s="64">
        <v>1666838.3641573926</v>
      </c>
      <c r="AF12" s="64">
        <v>51943891.524630375</v>
      </c>
      <c r="AG12" s="64">
        <v>621273.64747144072</v>
      </c>
      <c r="AH12" s="64">
        <v>30458655.333333336</v>
      </c>
      <c r="AI12" s="64">
        <v>35553442</v>
      </c>
      <c r="AJ12" s="64">
        <v>5494508.9122133125</v>
      </c>
      <c r="AK12" s="64">
        <v>486959.73185210396</v>
      </c>
      <c r="AL12" s="64">
        <v>1138295</v>
      </c>
      <c r="AN12" s="64">
        <f t="shared" si="4"/>
        <v>77181045.216073006</v>
      </c>
      <c r="AO12" s="64">
        <f t="shared" si="5"/>
        <v>85854416.035240605</v>
      </c>
      <c r="AQ12" s="59">
        <v>1405293.0565372712</v>
      </c>
      <c r="AR12" s="59">
        <v>818004.10239943734</v>
      </c>
      <c r="AS12" s="59">
        <v>0</v>
      </c>
      <c r="AT12" s="59">
        <v>298037.17727345997</v>
      </c>
      <c r="AU12" s="59">
        <v>108435.99999999999</v>
      </c>
      <c r="AV12" s="59">
        <v>2969398</v>
      </c>
      <c r="AW12" s="59"/>
      <c r="AX12" s="59">
        <f t="shared" si="6"/>
        <v>1405293.0565372712</v>
      </c>
      <c r="AY12" s="59">
        <f t="shared" si="6"/>
        <v>818004.10239943734</v>
      </c>
      <c r="AZ12" s="59"/>
      <c r="BA12" s="59">
        <v>1516818.3417256277</v>
      </c>
      <c r="BB12" s="59">
        <v>872372.39999919292</v>
      </c>
      <c r="BC12" s="59">
        <v>212228.89764468311</v>
      </c>
      <c r="BD12" s="59">
        <v>212905.76939849555</v>
      </c>
      <c r="BE12" s="59">
        <v>8161.9179380981295</v>
      </c>
      <c r="BF12" s="59">
        <v>473098</v>
      </c>
      <c r="BG12" s="59">
        <v>3296313</v>
      </c>
      <c r="BI12" s="59">
        <f t="shared" si="7"/>
        <v>1516818.3417256277</v>
      </c>
      <c r="BJ12" s="59">
        <f t="shared" si="8"/>
        <v>1305668.9849804696</v>
      </c>
    </row>
    <row r="13" spans="1:64" x14ac:dyDescent="0.3">
      <c r="A13" s="83">
        <v>42917</v>
      </c>
      <c r="C13" s="59">
        <v>2207593.5981935249</v>
      </c>
      <c r="D13" s="59">
        <v>1477007.4247348027</v>
      </c>
      <c r="E13" s="59">
        <v>258397.09758322348</v>
      </c>
      <c r="F13" s="59">
        <v>38907.84213713029</v>
      </c>
      <c r="G13" s="59">
        <v>1876169.5796795823</v>
      </c>
      <c r="H13" s="59">
        <v>3444765</v>
      </c>
      <c r="J13" s="93">
        <v>28316.563000000002</v>
      </c>
      <c r="K13" s="59"/>
      <c r="L13" s="64">
        <f t="shared" si="0"/>
        <v>2207593.5981935249</v>
      </c>
      <c r="M13" s="64">
        <f t="shared" si="1"/>
        <v>1707087.959318026</v>
      </c>
      <c r="O13" s="59">
        <v>190922680.36239016</v>
      </c>
      <c r="P13" s="59">
        <v>49182387.645607583</v>
      </c>
      <c r="Q13" s="59">
        <v>4299778.6842434863</v>
      </c>
      <c r="R13" s="59">
        <v>128507267.59168456</v>
      </c>
      <c r="S13" s="59">
        <v>2719296.0064542517</v>
      </c>
      <c r="T13" s="59">
        <v>91899814.941576734</v>
      </c>
      <c r="U13" s="59">
        <v>0</v>
      </c>
      <c r="V13" s="59">
        <v>22276226.581675343</v>
      </c>
      <c r="W13" s="59">
        <v>1753189.0102813509</v>
      </c>
      <c r="X13" s="59">
        <v>1925474.2281530034</v>
      </c>
      <c r="Z13" s="64">
        <f t="shared" si="2"/>
        <v>190922680.36239016</v>
      </c>
      <c r="AA13" s="64">
        <f t="shared" si="3"/>
        <v>208738145.5199466</v>
      </c>
      <c r="AC13" s="64">
        <v>89924105.873764306</v>
      </c>
      <c r="AD13" s="64">
        <v>30512375.862916578</v>
      </c>
      <c r="AE13" s="64">
        <v>1898020.2257203152</v>
      </c>
      <c r="AF13" s="64">
        <v>59260142.686455876</v>
      </c>
      <c r="AG13" s="64">
        <v>723358.75695083826</v>
      </c>
      <c r="AH13" s="64">
        <v>30245649.333333336</v>
      </c>
      <c r="AI13" s="64">
        <v>37655496</v>
      </c>
      <c r="AJ13" s="64">
        <v>7659077.6540641617</v>
      </c>
      <c r="AK13" s="64">
        <v>889382.14916622406</v>
      </c>
      <c r="AL13" s="64">
        <v>1143654</v>
      </c>
      <c r="AN13" s="64">
        <f t="shared" si="4"/>
        <v>89924105.873764306</v>
      </c>
      <c r="AO13" s="64">
        <f t="shared" si="5"/>
        <v>100942357.335274</v>
      </c>
      <c r="AQ13" s="59">
        <v>1112174.0391464466</v>
      </c>
      <c r="AR13" s="59">
        <v>1022684.8439337445</v>
      </c>
      <c r="AS13" s="59">
        <v>0</v>
      </c>
      <c r="AT13" s="59">
        <v>274889.9557662002</v>
      </c>
      <c r="AU13" s="59">
        <v>104229</v>
      </c>
      <c r="AV13" s="59">
        <v>2498247</v>
      </c>
      <c r="AW13" s="59"/>
      <c r="AX13" s="59">
        <f t="shared" si="6"/>
        <v>1112174.0391464466</v>
      </c>
      <c r="AY13" s="59">
        <f t="shared" si="6"/>
        <v>1022684.8439337445</v>
      </c>
      <c r="AZ13" s="59"/>
      <c r="BA13" s="59">
        <v>1314896.9631091899</v>
      </c>
      <c r="BB13" s="59">
        <v>877492.96641414252</v>
      </c>
      <c r="BC13" s="59">
        <v>241753.82178827</v>
      </c>
      <c r="BD13" s="59">
        <v>255437.90286816342</v>
      </c>
      <c r="BE13" s="59">
        <v>7840.9501743304536</v>
      </c>
      <c r="BF13" s="59">
        <v>476307</v>
      </c>
      <c r="BG13" s="59">
        <v>3234245</v>
      </c>
      <c r="BI13" s="59">
        <f t="shared" si="7"/>
        <v>1314896.9631091899</v>
      </c>
      <c r="BJ13" s="59">
        <f t="shared" si="8"/>
        <v>1382525.6412449062</v>
      </c>
    </row>
    <row r="14" spans="1:64" x14ac:dyDescent="0.3">
      <c r="A14" s="83">
        <v>42948</v>
      </c>
      <c r="C14" s="59">
        <v>1991493.1339386718</v>
      </c>
      <c r="D14" s="59">
        <v>1527047.8244375954</v>
      </c>
      <c r="E14" s="59">
        <v>289113.29729530343</v>
      </c>
      <c r="F14" s="59">
        <v>26526.735728838808</v>
      </c>
      <c r="G14" s="59">
        <v>1701151.7703815494</v>
      </c>
      <c r="H14" s="59">
        <v>3251113</v>
      </c>
      <c r="J14" s="93">
        <v>27313.016</v>
      </c>
      <c r="K14" s="59"/>
      <c r="L14" s="64">
        <f t="shared" si="0"/>
        <v>1991493.1339386718</v>
      </c>
      <c r="M14" s="64">
        <f t="shared" si="1"/>
        <v>1788848.1057328989</v>
      </c>
      <c r="O14" s="59">
        <v>186911412.12803674</v>
      </c>
      <c r="P14" s="59">
        <v>47554998.589761443</v>
      </c>
      <c r="Q14" s="59">
        <v>4252712.9202122884</v>
      </c>
      <c r="R14" s="59">
        <v>125510140.70770037</v>
      </c>
      <c r="S14" s="59">
        <v>2664254.8516610586</v>
      </c>
      <c r="T14" s="59">
        <v>94378515.697783574</v>
      </c>
      <c r="U14" s="59">
        <v>0</v>
      </c>
      <c r="V14" s="59">
        <v>22894874.432992473</v>
      </c>
      <c r="W14" s="59">
        <v>1595744.3777957088</v>
      </c>
      <c r="X14" s="59">
        <v>1923458.9686277949</v>
      </c>
      <c r="Z14" s="64">
        <f t="shared" si="2"/>
        <v>186911412.12803674</v>
      </c>
      <c r="AA14" s="64">
        <f t="shared" si="3"/>
        <v>204472725.88012332</v>
      </c>
      <c r="AC14" s="64">
        <v>85151848.34834595</v>
      </c>
      <c r="AD14" s="64">
        <v>29706105.004300497</v>
      </c>
      <c r="AE14" s="64">
        <v>1904373.9969151486</v>
      </c>
      <c r="AF14" s="64">
        <v>57428077.341962174</v>
      </c>
      <c r="AG14" s="64">
        <v>706842.49752898526</v>
      </c>
      <c r="AH14" s="64">
        <v>30848487.333333336</v>
      </c>
      <c r="AI14" s="64">
        <v>37404878</v>
      </c>
      <c r="AJ14" s="64">
        <v>7702076.3461450264</v>
      </c>
      <c r="AK14" s="64">
        <v>973245.70521132112</v>
      </c>
      <c r="AL14" s="64">
        <v>1141187</v>
      </c>
      <c r="AN14" s="64">
        <f t="shared" si="4"/>
        <v>85151848.34834595</v>
      </c>
      <c r="AO14" s="64">
        <f t="shared" si="5"/>
        <v>98420720.892063156</v>
      </c>
      <c r="AQ14" s="59">
        <v>1038979.2104052568</v>
      </c>
      <c r="AR14" s="59">
        <v>1233276.775192186</v>
      </c>
      <c r="AS14" s="59">
        <v>0</v>
      </c>
      <c r="AT14" s="59">
        <v>224834.18832160271</v>
      </c>
      <c r="AU14" s="59">
        <v>101961</v>
      </c>
      <c r="AV14" s="59">
        <v>2742723</v>
      </c>
      <c r="AW14" s="59"/>
      <c r="AX14" s="59">
        <f t="shared" si="6"/>
        <v>1038979.2104052568</v>
      </c>
      <c r="AY14" s="59">
        <f t="shared" si="6"/>
        <v>1233276.775192186</v>
      </c>
      <c r="AZ14" s="59"/>
      <c r="BA14" s="59">
        <v>1213456.0269929846</v>
      </c>
      <c r="BB14" s="59">
        <v>905674.88598412543</v>
      </c>
      <c r="BC14" s="59">
        <v>266117.39243881981</v>
      </c>
      <c r="BD14" s="59">
        <v>294538.55736248498</v>
      </c>
      <c r="BE14" s="59">
        <v>16471.670956038019</v>
      </c>
      <c r="BF14" s="59">
        <v>460178</v>
      </c>
      <c r="BG14" s="59">
        <v>2994658.6666666665</v>
      </c>
      <c r="BI14" s="59">
        <f t="shared" si="7"/>
        <v>1213456.0269929846</v>
      </c>
      <c r="BJ14" s="59">
        <f t="shared" si="8"/>
        <v>1482802.5067414681</v>
      </c>
    </row>
    <row r="15" spans="1:64" x14ac:dyDescent="0.3">
      <c r="A15" s="83">
        <v>42979</v>
      </c>
      <c r="C15" s="59">
        <v>2513893.3483327874</v>
      </c>
      <c r="D15" s="59">
        <v>1899600.9562980023</v>
      </c>
      <c r="E15" s="59">
        <v>318842.05410049297</v>
      </c>
      <c r="F15" s="59">
        <v>29987.4747242999</v>
      </c>
      <c r="G15" s="59">
        <v>1781971.7949997988</v>
      </c>
      <c r="H15" s="59">
        <v>3391247</v>
      </c>
      <c r="J15" s="93">
        <v>29790.423999999999</v>
      </c>
      <c r="K15" s="59"/>
      <c r="L15" s="64">
        <f t="shared" si="0"/>
        <v>2513893.3483327874</v>
      </c>
      <c r="M15" s="64">
        <f t="shared" si="1"/>
        <v>2188652.5863984949</v>
      </c>
      <c r="O15" s="59">
        <v>155176322.51948649</v>
      </c>
      <c r="P15" s="59">
        <v>40528590.750243425</v>
      </c>
      <c r="Q15" s="59">
        <v>3813683.8926928663</v>
      </c>
      <c r="R15" s="59">
        <v>108772843.4389926</v>
      </c>
      <c r="S15" s="59">
        <v>2318259.8020028993</v>
      </c>
      <c r="T15" s="59">
        <v>97836450.989881769</v>
      </c>
      <c r="U15" s="59">
        <v>0</v>
      </c>
      <c r="V15" s="59">
        <v>15558290.565673739</v>
      </c>
      <c r="W15" s="59">
        <v>1002252.015716251</v>
      </c>
      <c r="X15" s="59">
        <v>1921778.410532739</v>
      </c>
      <c r="Z15" s="64">
        <f t="shared" si="2"/>
        <v>155176322.51948649</v>
      </c>
      <c r="AA15" s="64">
        <f t="shared" si="3"/>
        <v>171993920.46532181</v>
      </c>
      <c r="AC15" s="64">
        <v>71510137.981078506</v>
      </c>
      <c r="AD15" s="64">
        <v>24392670.902234592</v>
      </c>
      <c r="AE15" s="64">
        <v>1637264.7309737734</v>
      </c>
      <c r="AF15" s="64">
        <v>49030971.798263684</v>
      </c>
      <c r="AG15" s="64">
        <v>589067.06103920774</v>
      </c>
      <c r="AH15" s="64">
        <v>31148204.333333336</v>
      </c>
      <c r="AI15" s="64">
        <v>35733671</v>
      </c>
      <c r="AJ15" s="64">
        <v>5382466.5230628131</v>
      </c>
      <c r="AK15" s="64">
        <v>623458.33703467087</v>
      </c>
      <c r="AL15" s="64">
        <v>1139411</v>
      </c>
      <c r="AN15" s="64">
        <f t="shared" si="4"/>
        <v>71510137.981078506</v>
      </c>
      <c r="AO15" s="64">
        <f t="shared" si="5"/>
        <v>81655899.35260874</v>
      </c>
      <c r="AQ15" s="59">
        <v>1377687.4904488639</v>
      </c>
      <c r="AR15" s="59">
        <v>1247584.1488722062</v>
      </c>
      <c r="AS15" s="59">
        <v>0</v>
      </c>
      <c r="AT15" s="59">
        <v>208907.85101914845</v>
      </c>
      <c r="AU15" s="59">
        <v>114450</v>
      </c>
      <c r="AV15" s="59">
        <v>2728099</v>
      </c>
      <c r="AW15" s="59"/>
      <c r="AX15" s="59">
        <f t="shared" si="6"/>
        <v>1377687.4904488639</v>
      </c>
      <c r="AY15" s="59">
        <f t="shared" si="6"/>
        <v>1247584.1488722062</v>
      </c>
      <c r="AZ15" s="59"/>
      <c r="BA15" s="59">
        <v>1262052.0610799284</v>
      </c>
      <c r="BB15" s="59">
        <v>945270.3676143362</v>
      </c>
      <c r="BC15" s="59">
        <v>249415.68765191847</v>
      </c>
      <c r="BD15" s="59">
        <v>460745.32742943114</v>
      </c>
      <c r="BE15" s="59">
        <v>138376.48644262657</v>
      </c>
      <c r="BF15" s="59">
        <v>463003</v>
      </c>
      <c r="BG15" s="59">
        <v>3138215</v>
      </c>
      <c r="BI15" s="59">
        <f t="shared" si="7"/>
        <v>1262052.0610799284</v>
      </c>
      <c r="BJ15" s="59">
        <f t="shared" si="8"/>
        <v>1793807.8691383121</v>
      </c>
    </row>
    <row r="16" spans="1:64" x14ac:dyDescent="0.3">
      <c r="A16" s="83">
        <v>43009</v>
      </c>
      <c r="C16" s="59">
        <v>7027402.4166716486</v>
      </c>
      <c r="D16" s="59">
        <v>4051517.6299471501</v>
      </c>
      <c r="E16" s="59">
        <v>545097.61446536635</v>
      </c>
      <c r="F16" s="59">
        <v>65693.520977153647</v>
      </c>
      <c r="G16" s="59">
        <v>1918718.8523268555</v>
      </c>
      <c r="H16" s="59">
        <v>3473659</v>
      </c>
      <c r="J16" s="93">
        <v>36487.103999999999</v>
      </c>
      <c r="K16" s="59"/>
      <c r="L16" s="64">
        <f t="shared" si="0"/>
        <v>7027402.4166716486</v>
      </c>
      <c r="M16" s="64">
        <f t="shared" si="1"/>
        <v>4560128.140412516</v>
      </c>
      <c r="O16" s="59">
        <v>182502193.41387373</v>
      </c>
      <c r="P16" s="59">
        <v>44829153.044835977</v>
      </c>
      <c r="Q16" s="59">
        <v>4511836.7399356319</v>
      </c>
      <c r="R16" s="59">
        <v>117862831.29126246</v>
      </c>
      <c r="S16" s="59">
        <v>2610082.9120320473</v>
      </c>
      <c r="T16" s="59">
        <v>93268295.925062925</v>
      </c>
      <c r="U16" s="59">
        <v>0</v>
      </c>
      <c r="V16" s="59">
        <v>9284971.0202363953</v>
      </c>
      <c r="W16" s="59">
        <v>583199.50377361872</v>
      </c>
      <c r="X16" s="59">
        <v>1921027.304836717</v>
      </c>
      <c r="Z16" s="64">
        <f t="shared" si="2"/>
        <v>182502193.41387373</v>
      </c>
      <c r="AA16" s="64">
        <f t="shared" si="3"/>
        <v>179682074.51207614</v>
      </c>
      <c r="AC16" s="64">
        <v>88256779.237769753</v>
      </c>
      <c r="AD16" s="64">
        <v>26657713.217946392</v>
      </c>
      <c r="AE16" s="64">
        <v>1965175.619106052</v>
      </c>
      <c r="AF16" s="64">
        <v>53241225.611293286</v>
      </c>
      <c r="AG16" s="64">
        <v>655078.1516265322</v>
      </c>
      <c r="AH16" s="64">
        <v>30133584.333333336</v>
      </c>
      <c r="AI16" s="64">
        <v>37091357</v>
      </c>
      <c r="AJ16" s="64">
        <v>4074126.3341051703</v>
      </c>
      <c r="AK16" s="64">
        <v>330025.65344947798</v>
      </c>
      <c r="AL16" s="64">
        <v>1144509</v>
      </c>
      <c r="AN16" s="64">
        <f t="shared" si="4"/>
        <v>88256779.237769753</v>
      </c>
      <c r="AO16" s="64">
        <f t="shared" si="5"/>
        <v>86923344.587526888</v>
      </c>
      <c r="AQ16" s="59">
        <v>3662732.9496855023</v>
      </c>
      <c r="AR16" s="59">
        <v>2210398.6372966105</v>
      </c>
      <c r="AS16" s="59">
        <v>0</v>
      </c>
      <c r="AT16" s="59">
        <v>224941.0516643225</v>
      </c>
      <c r="AU16" s="59">
        <v>112164.99999999999</v>
      </c>
      <c r="AV16" s="59">
        <v>2896125</v>
      </c>
      <c r="AW16" s="59"/>
      <c r="AX16" s="59">
        <f t="shared" si="6"/>
        <v>3662732.9496855023</v>
      </c>
      <c r="AY16" s="59">
        <f t="shared" si="6"/>
        <v>2210398.6372966105</v>
      </c>
      <c r="AZ16" s="59"/>
      <c r="BA16" s="59">
        <v>2897649.0418708371</v>
      </c>
      <c r="BB16" s="59">
        <v>1804723.8676048429</v>
      </c>
      <c r="BC16" s="59">
        <v>403526.61221919098</v>
      </c>
      <c r="BD16" s="59">
        <v>491279.98342868045</v>
      </c>
      <c r="BE16" s="59">
        <v>68661.423244148406</v>
      </c>
      <c r="BF16" s="59">
        <v>452320</v>
      </c>
      <c r="BG16" s="59">
        <v>3103387.3333333335</v>
      </c>
      <c r="BI16" s="59">
        <f t="shared" si="7"/>
        <v>2897649.0418708371</v>
      </c>
      <c r="BJ16" s="59">
        <f t="shared" si="8"/>
        <v>2768191.8864968629</v>
      </c>
    </row>
    <row r="17" spans="1:62" x14ac:dyDescent="0.3">
      <c r="A17" s="83">
        <v>43040</v>
      </c>
      <c r="C17" s="59">
        <v>15431299.998546418</v>
      </c>
      <c r="D17" s="59">
        <v>6620837.3566393126</v>
      </c>
      <c r="E17" s="59">
        <v>663139.2287776618</v>
      </c>
      <c r="F17" s="59">
        <v>112236.36676008614</v>
      </c>
      <c r="G17" s="59">
        <v>2601175.5991028138</v>
      </c>
      <c r="H17" s="59">
        <v>3994644</v>
      </c>
      <c r="J17" s="93">
        <v>47656.267999999996</v>
      </c>
      <c r="K17" s="59"/>
      <c r="L17" s="64">
        <f t="shared" si="0"/>
        <v>15431299.998546418</v>
      </c>
      <c r="M17" s="64">
        <f t="shared" si="1"/>
        <v>7236320.3174169743</v>
      </c>
      <c r="O17" s="59">
        <v>228268949.15852112</v>
      </c>
      <c r="P17" s="59">
        <v>47392501.364871591</v>
      </c>
      <c r="Q17" s="59">
        <v>5423754.0167319588</v>
      </c>
      <c r="R17" s="59">
        <v>116454173.94306618</v>
      </c>
      <c r="S17" s="59">
        <v>2832320.3281429224</v>
      </c>
      <c r="T17" s="59">
        <v>94902018.142556652</v>
      </c>
      <c r="U17" s="59">
        <v>0</v>
      </c>
      <c r="V17" s="59">
        <v>4462591.514476493</v>
      </c>
      <c r="W17" s="59">
        <v>312850.20518404612</v>
      </c>
      <c r="X17" s="59">
        <v>1920755.4873709911</v>
      </c>
      <c r="Z17" s="64">
        <f t="shared" si="2"/>
        <v>228268949.15852112</v>
      </c>
      <c r="AA17" s="64">
        <f t="shared" si="3"/>
        <v>176878191.37247318</v>
      </c>
      <c r="AC17" s="64">
        <v>115274155.87462741</v>
      </c>
      <c r="AD17" s="64">
        <v>29559044.150488485</v>
      </c>
      <c r="AE17" s="64">
        <v>2557149.9273132286</v>
      </c>
      <c r="AF17" s="64">
        <v>53870805.211983494</v>
      </c>
      <c r="AG17" s="64">
        <v>762279.18969294452</v>
      </c>
      <c r="AH17" s="64">
        <v>31066169.333333336</v>
      </c>
      <c r="AI17" s="64">
        <v>34527741</v>
      </c>
      <c r="AJ17" s="64">
        <v>3091248.6396796484</v>
      </c>
      <c r="AK17" s="64">
        <v>206886.5830514378</v>
      </c>
      <c r="AL17" s="64">
        <v>1141566</v>
      </c>
      <c r="AN17" s="64">
        <f t="shared" si="4"/>
        <v>115274155.87462741</v>
      </c>
      <c r="AO17" s="64">
        <f t="shared" si="5"/>
        <v>90047413.702209249</v>
      </c>
      <c r="AQ17" s="59">
        <v>7699906.5846533021</v>
      </c>
      <c r="AR17" s="59">
        <v>3169540.1783218565</v>
      </c>
      <c r="AS17" s="59">
        <v>0</v>
      </c>
      <c r="AT17" s="59">
        <v>293739.24331878044</v>
      </c>
      <c r="AU17" s="59">
        <v>134672</v>
      </c>
      <c r="AV17" s="59">
        <v>2832688</v>
      </c>
      <c r="AW17" s="59"/>
      <c r="AX17" s="59">
        <f t="shared" si="6"/>
        <v>7699906.5846533021</v>
      </c>
      <c r="AY17" s="59">
        <f t="shared" si="6"/>
        <v>3169540.1783218565</v>
      </c>
      <c r="AZ17" s="59"/>
      <c r="BA17" s="59">
        <v>5933913.1550268987</v>
      </c>
      <c r="BB17" s="59">
        <v>3142756.2066413946</v>
      </c>
      <c r="BC17" s="59">
        <v>488460.0051593298</v>
      </c>
      <c r="BD17" s="59">
        <v>503473.39997457643</v>
      </c>
      <c r="BE17" s="59">
        <v>16131.247920783717</v>
      </c>
      <c r="BF17" s="59">
        <v>470171</v>
      </c>
      <c r="BG17" s="59">
        <v>3487229</v>
      </c>
      <c r="BI17" s="59">
        <f t="shared" si="7"/>
        <v>5933913.1550268987</v>
      </c>
      <c r="BJ17" s="59">
        <f t="shared" si="8"/>
        <v>4150820.8596960842</v>
      </c>
    </row>
    <row r="18" spans="1:62" x14ac:dyDescent="0.3">
      <c r="A18" s="83">
        <v>43070</v>
      </c>
      <c r="C18" s="59">
        <v>21690821.068998039</v>
      </c>
      <c r="D18" s="59">
        <v>7932227.0595340366</v>
      </c>
      <c r="E18" s="59">
        <v>603372.8575124332</v>
      </c>
      <c r="F18" s="59">
        <v>131576.21905672512</v>
      </c>
      <c r="G18" s="59">
        <v>2872682.9367259471</v>
      </c>
      <c r="H18" s="59">
        <v>4366636</v>
      </c>
      <c r="J18" s="93">
        <v>74705.248000000007</v>
      </c>
      <c r="K18" s="59"/>
      <c r="L18" s="64">
        <f t="shared" si="0"/>
        <v>21690821.068998039</v>
      </c>
      <c r="M18" s="64">
        <f t="shared" si="1"/>
        <v>8460894.6690464709</v>
      </c>
      <c r="O18" s="59">
        <v>290602583.16897094</v>
      </c>
      <c r="P18" s="59">
        <v>54031206.850945659</v>
      </c>
      <c r="Q18" s="59">
        <v>6783084.4783533663</v>
      </c>
      <c r="R18" s="59">
        <v>125342557.02712139</v>
      </c>
      <c r="S18" s="59">
        <v>3358131.8195680305</v>
      </c>
      <c r="T18" s="59">
        <v>91899768.386997655</v>
      </c>
      <c r="U18" s="59">
        <v>0</v>
      </c>
      <c r="V18" s="59">
        <v>4038777.6859477619</v>
      </c>
      <c r="W18" s="59">
        <v>288849.32809616654</v>
      </c>
      <c r="X18" s="59">
        <v>1921240.9215215563</v>
      </c>
      <c r="Z18" s="64">
        <f t="shared" si="2"/>
        <v>290602583.16897094</v>
      </c>
      <c r="AA18" s="64">
        <f t="shared" si="3"/>
        <v>193842607.19003242</v>
      </c>
      <c r="AC18" s="64">
        <v>144399281.81564677</v>
      </c>
      <c r="AD18" s="64">
        <v>34739263.657870628</v>
      </c>
      <c r="AE18" s="64">
        <v>3194267.12518225</v>
      </c>
      <c r="AF18" s="64">
        <v>59196576.897967584</v>
      </c>
      <c r="AG18" s="64">
        <v>936974.71053704934</v>
      </c>
      <c r="AH18" s="64">
        <v>30201361.333333336</v>
      </c>
      <c r="AI18" s="64">
        <v>35839331</v>
      </c>
      <c r="AJ18" s="64">
        <v>3261040.0834951475</v>
      </c>
      <c r="AK18" s="64">
        <v>224648.25309605591</v>
      </c>
      <c r="AL18" s="64">
        <v>1141433</v>
      </c>
      <c r="AN18" s="64">
        <f t="shared" si="4"/>
        <v>144399281.81564677</v>
      </c>
      <c r="AO18" s="64">
        <f t="shared" si="5"/>
        <v>101552770.72814871</v>
      </c>
      <c r="AQ18" s="59">
        <v>10267380.135467676</v>
      </c>
      <c r="AR18" s="59">
        <v>3508496.4232753473</v>
      </c>
      <c r="AS18" s="59">
        <v>0</v>
      </c>
      <c r="AT18" s="59">
        <v>221797.84198828944</v>
      </c>
      <c r="AU18" s="59">
        <v>122140</v>
      </c>
      <c r="AV18" s="59">
        <v>3945237</v>
      </c>
      <c r="AW18" s="59"/>
      <c r="AX18" s="59">
        <f t="shared" si="6"/>
        <v>10267380.135467676</v>
      </c>
      <c r="AY18" s="59">
        <f t="shared" si="6"/>
        <v>3508496.4232753473</v>
      </c>
      <c r="AZ18" s="59"/>
      <c r="BA18" s="59">
        <v>8400689.0674129054</v>
      </c>
      <c r="BB18" s="59">
        <v>4326179.2498990521</v>
      </c>
      <c r="BC18" s="59">
        <v>470070.37559449353</v>
      </c>
      <c r="BD18" s="59">
        <v>435904.37367866409</v>
      </c>
      <c r="BE18" s="59">
        <v>3624.782701678253</v>
      </c>
      <c r="BF18" s="59">
        <v>441041</v>
      </c>
      <c r="BG18" s="59">
        <v>3514814</v>
      </c>
      <c r="BI18" s="59">
        <f t="shared" si="7"/>
        <v>8400689.0674129054</v>
      </c>
      <c r="BJ18" s="59">
        <f t="shared" si="8"/>
        <v>5235778.7818738883</v>
      </c>
    </row>
    <row r="19" spans="1:62" x14ac:dyDescent="0.3">
      <c r="A19" s="83">
        <v>43101</v>
      </c>
      <c r="C19" s="59">
        <v>21680191.062805481</v>
      </c>
      <c r="D19" s="59">
        <v>7657144.7326764772</v>
      </c>
      <c r="E19" s="59">
        <v>600720.45586453984</v>
      </c>
      <c r="F19" s="59">
        <v>130862.77278274758</v>
      </c>
      <c r="G19" s="59">
        <v>3301058.0612509055</v>
      </c>
      <c r="H19" s="59">
        <v>4717516</v>
      </c>
      <c r="J19" s="93">
        <v>81674</v>
      </c>
      <c r="K19" s="59"/>
      <c r="L19" s="64">
        <f t="shared" si="0"/>
        <v>21680191.062805481</v>
      </c>
      <c r="M19" s="64">
        <f t="shared" si="1"/>
        <v>8176191.1885410175</v>
      </c>
      <c r="O19" s="59">
        <v>286395161.98229253</v>
      </c>
      <c r="P19" s="59">
        <v>53620918.914787188</v>
      </c>
      <c r="Q19" s="59">
        <v>6845579.9860017505</v>
      </c>
      <c r="R19" s="59">
        <v>121976987.8641846</v>
      </c>
      <c r="S19" s="59">
        <v>3402012.7104731994</v>
      </c>
      <c r="T19" s="59">
        <v>92837182.020747602</v>
      </c>
      <c r="U19" s="59">
        <v>0</v>
      </c>
      <c r="V19" s="59">
        <v>4045629.9425139921</v>
      </c>
      <c r="W19" s="59">
        <v>298053.05874134257</v>
      </c>
      <c r="X19" s="59">
        <v>1922899.9157449869</v>
      </c>
      <c r="Z19" s="64">
        <f t="shared" si="2"/>
        <v>286395161.98229253</v>
      </c>
      <c r="AA19" s="64">
        <f t="shared" si="3"/>
        <v>190189182.47670209</v>
      </c>
      <c r="AC19" s="64">
        <v>136339208.89739478</v>
      </c>
      <c r="AD19" s="64">
        <v>33627569.255276173</v>
      </c>
      <c r="AE19" s="64">
        <v>3105960.6524030981</v>
      </c>
      <c r="AF19" s="64">
        <v>56994813.952306591</v>
      </c>
      <c r="AG19" s="64">
        <v>909177.81955816131</v>
      </c>
      <c r="AH19" s="64">
        <v>31939735.333333336</v>
      </c>
      <c r="AI19" s="64">
        <v>37091652</v>
      </c>
      <c r="AJ19" s="64">
        <v>3237413.364910841</v>
      </c>
      <c r="AK19" s="64">
        <v>233395.0851142029</v>
      </c>
      <c r="AL19" s="64">
        <v>1144820</v>
      </c>
      <c r="AN19" s="64">
        <f t="shared" si="4"/>
        <v>136339208.89739478</v>
      </c>
      <c r="AO19" s="64">
        <f t="shared" si="5"/>
        <v>98108330.129569054</v>
      </c>
      <c r="AQ19" s="59">
        <v>9750118.753242122</v>
      </c>
      <c r="AR19" s="59">
        <v>3416510.886578836</v>
      </c>
      <c r="AS19" s="59">
        <v>0</v>
      </c>
      <c r="AT19" s="59">
        <v>259922.53199603086</v>
      </c>
      <c r="AU19" s="59">
        <v>127264</v>
      </c>
      <c r="AV19" s="59">
        <v>4241065</v>
      </c>
      <c r="AW19" s="59"/>
      <c r="AX19" s="59">
        <f t="shared" si="6"/>
        <v>9750118.753242122</v>
      </c>
      <c r="AY19" s="59">
        <f t="shared" si="6"/>
        <v>3416510.886578836</v>
      </c>
      <c r="AZ19" s="59"/>
      <c r="BA19" s="59">
        <v>8569540.7228416428</v>
      </c>
      <c r="BB19" s="59">
        <v>4414822.6599081885</v>
      </c>
      <c r="BC19" s="59">
        <v>416245.90336089494</v>
      </c>
      <c r="BD19" s="59">
        <v>397301.57900483604</v>
      </c>
      <c r="BE19" s="59">
        <v>3692.8000696134227</v>
      </c>
      <c r="BF19" s="59">
        <v>447882</v>
      </c>
      <c r="BG19" s="59">
        <v>3606414</v>
      </c>
      <c r="BI19" s="59">
        <f t="shared" si="7"/>
        <v>8569540.7228416428</v>
      </c>
      <c r="BJ19" s="59">
        <f t="shared" si="8"/>
        <v>5232062.942343533</v>
      </c>
    </row>
    <row r="20" spans="1:62" x14ac:dyDescent="0.3">
      <c r="A20" s="83">
        <v>43132</v>
      </c>
      <c r="C20" s="59">
        <v>17695700.77041873</v>
      </c>
      <c r="D20" s="59">
        <v>6279174.2218281161</v>
      </c>
      <c r="E20" s="59">
        <v>564048.076284635</v>
      </c>
      <c r="F20" s="59">
        <v>120711.77140062304</v>
      </c>
      <c r="G20" s="59">
        <v>3616191.0203323015</v>
      </c>
      <c r="H20" s="59">
        <v>4837947</v>
      </c>
      <c r="J20" s="93">
        <v>68846.467999999993</v>
      </c>
      <c r="K20" s="59"/>
      <c r="L20" s="64">
        <f t="shared" si="0"/>
        <v>17695700.77041873</v>
      </c>
      <c r="M20" s="64">
        <f t="shared" si="1"/>
        <v>6774375.8301127506</v>
      </c>
      <c r="O20" s="59">
        <v>229631177.75049442</v>
      </c>
      <c r="P20" s="59">
        <v>45155538.730142325</v>
      </c>
      <c r="Q20" s="59">
        <v>5572184.1874996712</v>
      </c>
      <c r="R20" s="59">
        <v>104423786.74048202</v>
      </c>
      <c r="S20" s="59">
        <v>2827442.1582919653</v>
      </c>
      <c r="T20" s="59">
        <v>94529993.527695328</v>
      </c>
      <c r="U20" s="59">
        <v>0</v>
      </c>
      <c r="V20" s="59">
        <v>3482780.0834677443</v>
      </c>
      <c r="W20" s="59">
        <v>247667.27566126606</v>
      </c>
      <c r="X20" s="59">
        <v>1921613.082118284</v>
      </c>
      <c r="Z20" s="64">
        <f t="shared" si="2"/>
        <v>229631177.75049442</v>
      </c>
      <c r="AA20" s="64">
        <f t="shared" si="3"/>
        <v>161709399.17554501</v>
      </c>
      <c r="AC20" s="64">
        <v>108443558.09055111</v>
      </c>
      <c r="AD20" s="64">
        <v>27773076.605438583</v>
      </c>
      <c r="AE20" s="64">
        <v>2496386.2830628529</v>
      </c>
      <c r="AF20" s="64">
        <v>48316960.110150851</v>
      </c>
      <c r="AG20" s="64">
        <v>747920.03574510594</v>
      </c>
      <c r="AH20" s="64">
        <v>32249336.333333336</v>
      </c>
      <c r="AI20" s="64">
        <v>34610761</v>
      </c>
      <c r="AJ20" s="64">
        <v>2793940.6819800064</v>
      </c>
      <c r="AK20" s="64">
        <v>194881.03517660429</v>
      </c>
      <c r="AL20" s="64">
        <v>1144851</v>
      </c>
      <c r="AN20" s="64">
        <f t="shared" si="4"/>
        <v>108443558.09055111</v>
      </c>
      <c r="AO20" s="64">
        <f t="shared" si="5"/>
        <v>82323164.751553982</v>
      </c>
      <c r="AQ20" s="59">
        <v>7762177.3529289477</v>
      </c>
      <c r="AR20" s="59">
        <v>2677203.8154940996</v>
      </c>
      <c r="AS20" s="59">
        <v>0</v>
      </c>
      <c r="AT20" s="59">
        <v>241509.94510883169</v>
      </c>
      <c r="AU20" s="59">
        <v>126488</v>
      </c>
      <c r="AV20" s="59">
        <v>3703094</v>
      </c>
      <c r="AW20" s="59"/>
      <c r="AX20" s="59">
        <f t="shared" si="6"/>
        <v>7762177.3529289477</v>
      </c>
      <c r="AY20" s="59">
        <f t="shared" si="6"/>
        <v>2677203.8154940996</v>
      </c>
      <c r="AZ20" s="59"/>
      <c r="BA20" s="59">
        <v>6421469.690462226</v>
      </c>
      <c r="BB20" s="59">
        <v>3351158.846741539</v>
      </c>
      <c r="BC20" s="59">
        <v>342076.78407043411</v>
      </c>
      <c r="BD20" s="59">
        <v>337836.3620114756</v>
      </c>
      <c r="BE20" s="59">
        <v>1.127740174588989</v>
      </c>
      <c r="BF20" s="59">
        <v>502844</v>
      </c>
      <c r="BG20" s="59">
        <v>3934626</v>
      </c>
      <c r="BI20" s="59">
        <f t="shared" si="7"/>
        <v>6421469.690462226</v>
      </c>
      <c r="BJ20" s="59">
        <f t="shared" si="8"/>
        <v>4031073.120563623</v>
      </c>
    </row>
    <row r="21" spans="1:62" x14ac:dyDescent="0.3">
      <c r="A21" s="83">
        <v>43160</v>
      </c>
      <c r="C21" s="59">
        <v>15037592.420105681</v>
      </c>
      <c r="D21" s="59">
        <v>5348954.9188278364</v>
      </c>
      <c r="E21" s="59">
        <v>467919.68005706079</v>
      </c>
      <c r="F21" s="59">
        <v>107541.41919221036</v>
      </c>
      <c r="G21" s="59">
        <v>2958645.3185228324</v>
      </c>
      <c r="H21" s="59">
        <v>4333532</v>
      </c>
      <c r="J21" s="93">
        <v>57609.870999999999</v>
      </c>
      <c r="K21" s="59"/>
      <c r="L21" s="64">
        <f t="shared" si="0"/>
        <v>15037592.420105681</v>
      </c>
      <c r="M21" s="64">
        <f t="shared" si="1"/>
        <v>5759264.727884897</v>
      </c>
      <c r="O21" s="59">
        <v>227396653.90105498</v>
      </c>
      <c r="P21" s="59">
        <v>47257529.126676179</v>
      </c>
      <c r="Q21" s="59">
        <v>5510851.9043626692</v>
      </c>
      <c r="R21" s="59">
        <v>112128454.36622524</v>
      </c>
      <c r="S21" s="59">
        <v>2896178.5545650925</v>
      </c>
      <c r="T21" s="59">
        <v>89236487.867209762</v>
      </c>
      <c r="U21" s="59">
        <v>0</v>
      </c>
      <c r="V21" s="59">
        <v>4340285.2101503648</v>
      </c>
      <c r="W21" s="59">
        <v>275127.67183167278</v>
      </c>
      <c r="X21" s="59">
        <v>1920831.851576054</v>
      </c>
      <c r="Z21" s="64">
        <f t="shared" si="2"/>
        <v>227396653.90105498</v>
      </c>
      <c r="AA21" s="64">
        <f t="shared" si="3"/>
        <v>172408426.83381122</v>
      </c>
      <c r="AC21" s="64">
        <v>109794737.03114074</v>
      </c>
      <c r="AD21" s="64">
        <v>29273320.626340114</v>
      </c>
      <c r="AE21" s="64">
        <v>2468719.7324221963</v>
      </c>
      <c r="AF21" s="64">
        <v>53021737.026817188</v>
      </c>
      <c r="AG21" s="64">
        <v>768203.44688144862</v>
      </c>
      <c r="AH21" s="64">
        <v>30789196.333333336</v>
      </c>
      <c r="AI21" s="64">
        <v>37323565</v>
      </c>
      <c r="AJ21" s="64">
        <v>3148541.4108662372</v>
      </c>
      <c r="AK21" s="64">
        <v>182133.4646448759</v>
      </c>
      <c r="AL21" s="64">
        <v>1141924</v>
      </c>
      <c r="AN21" s="64">
        <f t="shared" si="4"/>
        <v>109794737.03114074</v>
      </c>
      <c r="AO21" s="64">
        <f t="shared" si="5"/>
        <v>88862655.70797205</v>
      </c>
      <c r="AQ21" s="59">
        <v>6896826.5023758905</v>
      </c>
      <c r="AR21" s="59">
        <v>2338037.3869294855</v>
      </c>
      <c r="AS21" s="59">
        <v>0</v>
      </c>
      <c r="AT21" s="59">
        <v>218833.85051907098</v>
      </c>
      <c r="AU21" s="59">
        <v>118747</v>
      </c>
      <c r="AV21" s="59">
        <v>3988160</v>
      </c>
      <c r="AW21" s="59"/>
      <c r="AX21" s="59">
        <f t="shared" si="6"/>
        <v>6896826.5023758905</v>
      </c>
      <c r="AY21" s="59">
        <f t="shared" si="6"/>
        <v>2338037.3869294855</v>
      </c>
      <c r="AZ21" s="59"/>
      <c r="BA21" s="59">
        <v>5800399.043621554</v>
      </c>
      <c r="BB21" s="59">
        <v>2963564.139663232</v>
      </c>
      <c r="BC21" s="59">
        <v>357783.29251718929</v>
      </c>
      <c r="BD21" s="59">
        <v>324274.01098505466</v>
      </c>
      <c r="BE21" s="59">
        <v>87.693336199907733</v>
      </c>
      <c r="BF21" s="59">
        <v>500638</v>
      </c>
      <c r="BG21" s="59">
        <v>3645636</v>
      </c>
      <c r="BI21" s="59">
        <f t="shared" si="7"/>
        <v>5800399.043621554</v>
      </c>
      <c r="BJ21" s="59">
        <f t="shared" si="8"/>
        <v>3645709.1365016759</v>
      </c>
    </row>
    <row r="22" spans="1:62" x14ac:dyDescent="0.3">
      <c r="A22" s="83">
        <v>43191</v>
      </c>
      <c r="C22" s="59">
        <v>9038877.7227286808</v>
      </c>
      <c r="D22" s="59">
        <v>3388869.4344963362</v>
      </c>
      <c r="E22" s="59">
        <v>348776.92445060296</v>
      </c>
      <c r="F22" s="59">
        <v>76041.448772964941</v>
      </c>
      <c r="G22" s="59">
        <v>3008311.5748403794</v>
      </c>
      <c r="H22" s="59">
        <v>4362371</v>
      </c>
      <c r="J22" s="93">
        <v>49630.597999999998</v>
      </c>
      <c r="K22" s="59"/>
      <c r="L22" s="64">
        <f t="shared" si="0"/>
        <v>9038877.7227286808</v>
      </c>
      <c r="M22" s="64">
        <f t="shared" si="1"/>
        <v>3688015.7609469388</v>
      </c>
      <c r="O22" s="59">
        <v>182331374.0524587</v>
      </c>
      <c r="P22" s="59">
        <v>41132541.070047863</v>
      </c>
      <c r="Q22" s="59">
        <v>4454782.6320660133</v>
      </c>
      <c r="R22" s="59">
        <v>102479102.23531039</v>
      </c>
      <c r="S22" s="59">
        <v>2472340.0234677293</v>
      </c>
      <c r="T22" s="59">
        <v>94683024.553652436</v>
      </c>
      <c r="U22" s="59">
        <v>0</v>
      </c>
      <c r="V22" s="59">
        <v>6601036.1678944174</v>
      </c>
      <c r="W22" s="59">
        <v>485534.40364741173</v>
      </c>
      <c r="X22" s="59">
        <v>1919682.9250287421</v>
      </c>
      <c r="Z22" s="64">
        <f t="shared" si="2"/>
        <v>182331374.0524587</v>
      </c>
      <c r="AA22" s="64">
        <f t="shared" si="3"/>
        <v>157625336.53243384</v>
      </c>
      <c r="AC22" s="64">
        <v>89138849.713211894</v>
      </c>
      <c r="AD22" s="64">
        <v>25527157.586541198</v>
      </c>
      <c r="AE22" s="64">
        <v>1972461.1262488272</v>
      </c>
      <c r="AF22" s="64">
        <v>48499028.673384838</v>
      </c>
      <c r="AG22" s="64">
        <v>643704.68893811468</v>
      </c>
      <c r="AH22" s="64">
        <v>32356249.333333336</v>
      </c>
      <c r="AI22" s="64">
        <v>35403250</v>
      </c>
      <c r="AJ22" s="64">
        <v>3204577.2894093604</v>
      </c>
      <c r="AK22" s="64">
        <v>150552.75726629759</v>
      </c>
      <c r="AL22" s="64">
        <v>1141875</v>
      </c>
      <c r="AN22" s="64">
        <f t="shared" si="4"/>
        <v>89138849.713211894</v>
      </c>
      <c r="AO22" s="64">
        <f t="shared" si="5"/>
        <v>79997482.121788621</v>
      </c>
      <c r="AQ22" s="59">
        <v>4299384.0210929671</v>
      </c>
      <c r="AR22" s="59">
        <v>1415418.4574327606</v>
      </c>
      <c r="AS22" s="59">
        <v>0</v>
      </c>
      <c r="AT22" s="59">
        <v>247082.09251320144</v>
      </c>
      <c r="AU22" s="59">
        <v>131223</v>
      </c>
      <c r="AV22" s="59">
        <v>3390067</v>
      </c>
      <c r="AW22" s="59"/>
      <c r="AX22" s="59">
        <f t="shared" si="6"/>
        <v>4299384.0210929671</v>
      </c>
      <c r="AY22" s="59">
        <f t="shared" si="6"/>
        <v>1415418.4574327606</v>
      </c>
      <c r="AZ22" s="59"/>
      <c r="BA22" s="59">
        <v>4079654.2263987707</v>
      </c>
      <c r="BB22" s="59">
        <v>2057776.6657612342</v>
      </c>
      <c r="BC22" s="59">
        <v>280277.65771248162</v>
      </c>
      <c r="BD22" s="59">
        <v>276160.25269640068</v>
      </c>
      <c r="BE22" s="59">
        <v>725.47840309841217</v>
      </c>
      <c r="BF22" s="59">
        <v>525052</v>
      </c>
      <c r="BG22" s="59">
        <v>3731164</v>
      </c>
      <c r="BI22" s="59">
        <f t="shared" si="7"/>
        <v>4079654.2263987707</v>
      </c>
      <c r="BJ22" s="59">
        <f t="shared" si="8"/>
        <v>2614940.0545732146</v>
      </c>
    </row>
    <row r="23" spans="1:62" x14ac:dyDescent="0.3">
      <c r="A23" s="83">
        <v>43221</v>
      </c>
      <c r="C23" s="59">
        <v>5038655.7857247787</v>
      </c>
      <c r="D23" s="59">
        <v>2082345.1372222484</v>
      </c>
      <c r="E23" s="59">
        <v>269750.30164950219</v>
      </c>
      <c r="F23" s="59">
        <v>57088.16890382344</v>
      </c>
      <c r="G23" s="59">
        <v>2502110.3864732534</v>
      </c>
      <c r="H23" s="59">
        <v>3946191</v>
      </c>
      <c r="J23" s="93">
        <v>46983.592000000004</v>
      </c>
      <c r="K23" s="59"/>
      <c r="L23" s="64">
        <f t="shared" si="0"/>
        <v>5038655.7857247787</v>
      </c>
      <c r="M23" s="64">
        <f t="shared" si="1"/>
        <v>2305111.8468717504</v>
      </c>
      <c r="O23" s="59">
        <v>169235153.3975777</v>
      </c>
      <c r="P23" s="59">
        <v>41631235.296952501</v>
      </c>
      <c r="Q23" s="59">
        <v>4195214.734350794</v>
      </c>
      <c r="R23" s="59">
        <v>109409600.80656409</v>
      </c>
      <c r="S23" s="59">
        <v>2452361.8092690539</v>
      </c>
      <c r="T23" s="59">
        <v>91657181.307559013</v>
      </c>
      <c r="U23" s="59">
        <v>0</v>
      </c>
      <c r="V23" s="59">
        <v>12005393.000634888</v>
      </c>
      <c r="W23" s="59">
        <v>799466.86584309104</v>
      </c>
      <c r="X23" s="59">
        <v>1917948.9510745448</v>
      </c>
      <c r="Z23" s="64">
        <f t="shared" si="2"/>
        <v>169235153.3975777</v>
      </c>
      <c r="AA23" s="64">
        <f t="shared" si="3"/>
        <v>170493272.51361439</v>
      </c>
      <c r="AC23" s="64">
        <v>81682196.212434441</v>
      </c>
      <c r="AD23" s="64">
        <v>25568485.914042518</v>
      </c>
      <c r="AE23" s="64">
        <v>1814047.382958482</v>
      </c>
      <c r="AF23" s="64">
        <v>50534083.262995094</v>
      </c>
      <c r="AG23" s="64">
        <v>629657.12558880611</v>
      </c>
      <c r="AH23" s="64">
        <v>31241187.333333336</v>
      </c>
      <c r="AI23" s="64">
        <v>37304980</v>
      </c>
      <c r="AJ23" s="64">
        <v>4194548.2797018662</v>
      </c>
      <c r="AK23" s="64">
        <v>275370.79676863598</v>
      </c>
      <c r="AL23" s="64">
        <v>1145202</v>
      </c>
      <c r="AN23" s="64">
        <f t="shared" si="4"/>
        <v>81682196.212434441</v>
      </c>
      <c r="AO23" s="64">
        <f t="shared" si="5"/>
        <v>83016192.762055397</v>
      </c>
      <c r="AQ23" s="59">
        <v>2456510.4100787421</v>
      </c>
      <c r="AR23" s="59">
        <v>902587.21277392074</v>
      </c>
      <c r="AS23" s="59">
        <v>0</v>
      </c>
      <c r="AT23" s="59">
        <v>283644.67307164945</v>
      </c>
      <c r="AU23" s="59">
        <v>119516.00000000001</v>
      </c>
      <c r="AV23" s="59">
        <v>2945722</v>
      </c>
      <c r="AW23" s="59"/>
      <c r="AX23" s="59">
        <f t="shared" si="6"/>
        <v>2456510.4100787421</v>
      </c>
      <c r="AY23" s="59">
        <f t="shared" si="6"/>
        <v>902587.21277392074</v>
      </c>
      <c r="AZ23" s="59"/>
      <c r="BA23" s="59">
        <v>2498459.3668687805</v>
      </c>
      <c r="BB23" s="59">
        <v>1316099.0971056882</v>
      </c>
      <c r="BC23" s="59">
        <v>233458.99047723561</v>
      </c>
      <c r="BD23" s="59">
        <v>226871.4998540552</v>
      </c>
      <c r="BE23" s="59">
        <v>721.9791651855993</v>
      </c>
      <c r="BF23" s="59">
        <v>508496</v>
      </c>
      <c r="BG23" s="59">
        <v>3527761</v>
      </c>
      <c r="BI23" s="59">
        <f t="shared" si="7"/>
        <v>2498459.3668687805</v>
      </c>
      <c r="BJ23" s="59">
        <f t="shared" si="8"/>
        <v>1777151.5666021646</v>
      </c>
    </row>
    <row r="24" spans="1:62" x14ac:dyDescent="0.3">
      <c r="A24" s="83">
        <v>43252</v>
      </c>
      <c r="C24" s="59">
        <v>2911601.6893022712</v>
      </c>
      <c r="D24" s="59">
        <v>1471633.9315597231</v>
      </c>
      <c r="E24" s="59">
        <v>244346.3949824656</v>
      </c>
      <c r="F24" s="59">
        <v>42961.748269258722</v>
      </c>
      <c r="G24" s="59">
        <v>2120473.2983476343</v>
      </c>
      <c r="H24" s="59">
        <v>3618621</v>
      </c>
      <c r="J24" s="93">
        <v>30134.866000000002</v>
      </c>
      <c r="K24" s="59"/>
      <c r="L24" s="64">
        <f t="shared" si="0"/>
        <v>2911601.6893022712</v>
      </c>
      <c r="M24" s="64">
        <f t="shared" si="1"/>
        <v>1685845.4605421887</v>
      </c>
      <c r="O24" s="59">
        <v>161827893.42176372</v>
      </c>
      <c r="P24" s="59">
        <v>42313632.058053814</v>
      </c>
      <c r="Q24" s="59">
        <v>3998764.6813089689</v>
      </c>
      <c r="R24" s="59">
        <v>112994970.56309013</v>
      </c>
      <c r="S24" s="59">
        <v>2403771.0654374026</v>
      </c>
      <c r="T24" s="59">
        <v>95067818.96175155</v>
      </c>
      <c r="U24" s="59">
        <v>0</v>
      </c>
      <c r="V24" s="59">
        <v>16713303.145339431</v>
      </c>
      <c r="W24" s="59">
        <v>1148768.4882154476</v>
      </c>
      <c r="X24" s="59">
        <v>1916651.0633257441</v>
      </c>
      <c r="Z24" s="64">
        <f t="shared" si="2"/>
        <v>161827893.42176372</v>
      </c>
      <c r="AA24" s="64">
        <f t="shared" si="3"/>
        <v>179573210.0014452</v>
      </c>
      <c r="AC24" s="64">
        <v>78131009.198294848</v>
      </c>
      <c r="AD24" s="64">
        <v>25977415.708753541</v>
      </c>
      <c r="AE24" s="64">
        <v>1722935.309796226</v>
      </c>
      <c r="AF24" s="64">
        <v>51704341.329665795</v>
      </c>
      <c r="AG24" s="64">
        <v>622753.7797665745</v>
      </c>
      <c r="AH24" s="64">
        <v>31383547.333333336</v>
      </c>
      <c r="AI24" s="64">
        <v>37006231</v>
      </c>
      <c r="AJ24" s="64">
        <v>5443740.7866711291</v>
      </c>
      <c r="AK24" s="64">
        <v>457903.80864208943</v>
      </c>
      <c r="AL24" s="64">
        <v>1145638.8403</v>
      </c>
      <c r="AN24" s="64">
        <f t="shared" si="4"/>
        <v>78131009.198294848</v>
      </c>
      <c r="AO24" s="64">
        <f t="shared" si="5"/>
        <v>85929090.723295361</v>
      </c>
      <c r="AQ24" s="59">
        <v>1468376.2918894188</v>
      </c>
      <c r="AR24" s="59">
        <v>813492.46770949895</v>
      </c>
      <c r="AS24" s="59">
        <v>0</v>
      </c>
      <c r="AT24" s="59">
        <v>311664.57429757883</v>
      </c>
      <c r="AU24" s="59">
        <v>114538</v>
      </c>
      <c r="AV24" s="59">
        <v>2978176</v>
      </c>
      <c r="AW24" s="59"/>
      <c r="AX24" s="59">
        <f t="shared" si="6"/>
        <v>1468376.2918894188</v>
      </c>
      <c r="AY24" s="59">
        <f t="shared" si="6"/>
        <v>813492.46770949895</v>
      </c>
      <c r="AZ24" s="59"/>
      <c r="BA24" s="59">
        <v>1537420.6205012426</v>
      </c>
      <c r="BB24" s="59">
        <v>875744.65812558297</v>
      </c>
      <c r="BC24" s="59">
        <v>211677.58016205466</v>
      </c>
      <c r="BD24" s="59">
        <v>210317.41455939069</v>
      </c>
      <c r="BE24" s="59">
        <v>8109.9779834840356</v>
      </c>
      <c r="BF24" s="59">
        <v>486449</v>
      </c>
      <c r="BG24" s="59">
        <v>3353462</v>
      </c>
      <c r="BI24" s="59">
        <f t="shared" si="7"/>
        <v>1537420.6205012426</v>
      </c>
      <c r="BJ24" s="59">
        <f t="shared" si="8"/>
        <v>1305849.6308305124</v>
      </c>
    </row>
    <row r="25" spans="1:62" x14ac:dyDescent="0.3">
      <c r="A25" s="83">
        <v>43282</v>
      </c>
      <c r="C25" s="59">
        <v>2298940.0462242397</v>
      </c>
      <c r="D25" s="59">
        <v>1377623.0547820204</v>
      </c>
      <c r="E25" s="59">
        <v>260662.8501971318</v>
      </c>
      <c r="F25" s="59">
        <v>38796.932386099958</v>
      </c>
      <c r="G25" s="59">
        <v>1880062.9981534723</v>
      </c>
      <c r="H25" s="59">
        <v>3492630</v>
      </c>
      <c r="J25" s="93">
        <v>28316.563000000002</v>
      </c>
      <c r="K25" s="59"/>
      <c r="L25" s="64">
        <f t="shared" si="0"/>
        <v>2298940.0462242397</v>
      </c>
      <c r="M25" s="64">
        <f t="shared" si="1"/>
        <v>1609969.3419791521</v>
      </c>
      <c r="O25" s="59">
        <v>193088634.31401491</v>
      </c>
      <c r="P25" s="59">
        <v>49550589.408703454</v>
      </c>
      <c r="Q25" s="59">
        <v>4423367.8334041722</v>
      </c>
      <c r="R25" s="59">
        <v>129496504.30485734</v>
      </c>
      <c r="S25" s="59">
        <v>2742615.4296727655</v>
      </c>
      <c r="T25" s="59">
        <v>93749106.009185061</v>
      </c>
      <c r="U25" s="59">
        <v>0</v>
      </c>
      <c r="V25" s="59">
        <v>22639722.161376931</v>
      </c>
      <c r="W25" s="59">
        <v>1750494.5524819815</v>
      </c>
      <c r="X25" s="59">
        <v>1915656.0091592632</v>
      </c>
      <c r="Z25" s="64">
        <f t="shared" si="2"/>
        <v>193088634.31401491</v>
      </c>
      <c r="AA25" s="64">
        <f t="shared" si="3"/>
        <v>210603293.69049665</v>
      </c>
      <c r="AC25" s="64">
        <v>91263918.468675435</v>
      </c>
      <c r="AD25" s="64">
        <v>30985788.851965249</v>
      </c>
      <c r="AE25" s="64">
        <v>1940255.2295942076</v>
      </c>
      <c r="AF25" s="64">
        <v>59265379.537697941</v>
      </c>
      <c r="AG25" s="64">
        <v>727561.6147243462</v>
      </c>
      <c r="AH25" s="64">
        <v>31140727.333333336</v>
      </c>
      <c r="AI25" s="64">
        <v>39163700</v>
      </c>
      <c r="AJ25" s="64">
        <v>7632578.3500772547</v>
      </c>
      <c r="AK25" s="64">
        <v>845576.86203101603</v>
      </c>
      <c r="AL25" s="64">
        <v>1144189.1570000001</v>
      </c>
      <c r="AN25" s="64">
        <f t="shared" si="4"/>
        <v>91263918.468675435</v>
      </c>
      <c r="AO25" s="64">
        <f t="shared" si="5"/>
        <v>101397140.44609001</v>
      </c>
      <c r="AQ25" s="59">
        <v>1191270.5007232064</v>
      </c>
      <c r="AR25" s="59">
        <v>1011441.709042476</v>
      </c>
      <c r="AS25" s="59">
        <v>0</v>
      </c>
      <c r="AT25" s="59">
        <v>272649.65890230337</v>
      </c>
      <c r="AU25" s="59">
        <v>110726</v>
      </c>
      <c r="AV25" s="59">
        <v>2687425</v>
      </c>
      <c r="AW25" s="59"/>
      <c r="AX25" s="59">
        <f t="shared" si="6"/>
        <v>1191270.5007232064</v>
      </c>
      <c r="AY25" s="59">
        <f t="shared" si="6"/>
        <v>1011441.709042476</v>
      </c>
      <c r="AZ25" s="59"/>
      <c r="BA25" s="59">
        <v>1333975.404878353</v>
      </c>
      <c r="BB25" s="59">
        <v>881419.89714922896</v>
      </c>
      <c r="BC25" s="59">
        <v>249851.08147468985</v>
      </c>
      <c r="BD25" s="59">
        <v>253625.9230843175</v>
      </c>
      <c r="BE25" s="59">
        <v>7752.0649655476018</v>
      </c>
      <c r="BF25" s="59">
        <v>488445</v>
      </c>
      <c r="BG25" s="59">
        <v>3294795</v>
      </c>
      <c r="BI25" s="59">
        <f t="shared" si="7"/>
        <v>1333975.404878353</v>
      </c>
      <c r="BJ25" s="59">
        <f t="shared" si="8"/>
        <v>1392648.9666737837</v>
      </c>
    </row>
    <row r="26" spans="1:62" x14ac:dyDescent="0.3">
      <c r="A26" s="83">
        <v>43313</v>
      </c>
      <c r="C26" s="59">
        <v>2091018.4109351423</v>
      </c>
      <c r="D26" s="59">
        <v>1487107.8357117597</v>
      </c>
      <c r="E26" s="59">
        <v>293985.20717975503</v>
      </c>
      <c r="F26" s="59">
        <v>26552.089303424869</v>
      </c>
      <c r="G26" s="59">
        <v>1736438.7981819026</v>
      </c>
      <c r="H26" s="59">
        <v>3298927</v>
      </c>
      <c r="J26" s="93">
        <v>27313.016</v>
      </c>
      <c r="K26" s="59"/>
      <c r="L26" s="64">
        <f t="shared" si="0"/>
        <v>2091018.4109351423</v>
      </c>
      <c r="M26" s="64">
        <f t="shared" si="1"/>
        <v>1753780.0268915147</v>
      </c>
      <c r="O26" s="59">
        <v>184692719.47772533</v>
      </c>
      <c r="P26" s="59">
        <v>46945702.300608531</v>
      </c>
      <c r="Q26" s="59">
        <v>4237345.6556102745</v>
      </c>
      <c r="R26" s="59">
        <v>123186185.38027988</v>
      </c>
      <c r="S26" s="59">
        <v>2627693.8545585019</v>
      </c>
      <c r="T26" s="59">
        <v>95422065.909979165</v>
      </c>
      <c r="U26" s="59">
        <v>0</v>
      </c>
      <c r="V26" s="59">
        <v>22690277.78726285</v>
      </c>
      <c r="W26" s="59">
        <v>1574556.3748017142</v>
      </c>
      <c r="X26" s="59">
        <v>1914956.4075764515</v>
      </c>
      <c r="Z26" s="64">
        <f t="shared" si="2"/>
        <v>184692719.47772533</v>
      </c>
      <c r="AA26" s="64">
        <f t="shared" si="3"/>
        <v>201261761.35312176</v>
      </c>
      <c r="AC26" s="64">
        <v>84274346.759804696</v>
      </c>
      <c r="AD26" s="64">
        <v>29424423.103705872</v>
      </c>
      <c r="AE26" s="64">
        <v>1882960.1695949249</v>
      </c>
      <c r="AF26" s="64">
        <v>55862368.806165732</v>
      </c>
      <c r="AG26" s="64">
        <v>692251.83783122548</v>
      </c>
      <c r="AH26" s="64">
        <v>31812800.333333336</v>
      </c>
      <c r="AI26" s="64">
        <v>38902862</v>
      </c>
      <c r="AJ26" s="64">
        <v>7524053.3853171971</v>
      </c>
      <c r="AK26" s="64">
        <v>925579.4203478765</v>
      </c>
      <c r="AL26" s="64">
        <v>1145255.3474999999</v>
      </c>
      <c r="AN26" s="64">
        <f t="shared" si="4"/>
        <v>84274346.759804696</v>
      </c>
      <c r="AO26" s="64">
        <f t="shared" si="5"/>
        <v>96311636.722962812</v>
      </c>
      <c r="AQ26" s="59">
        <v>1067643.3147697682</v>
      </c>
      <c r="AR26" s="59">
        <v>1201170.5011107372</v>
      </c>
      <c r="AS26" s="59">
        <v>0</v>
      </c>
      <c r="AT26" s="59">
        <v>233948.86230433226</v>
      </c>
      <c r="AU26" s="59">
        <v>107487.00000000001</v>
      </c>
      <c r="AV26" s="59">
        <v>2913372</v>
      </c>
      <c r="AW26" s="59"/>
      <c r="AX26" s="59">
        <f t="shared" si="6"/>
        <v>1067643.3147697682</v>
      </c>
      <c r="AY26" s="59">
        <f t="shared" si="6"/>
        <v>1201170.5011107372</v>
      </c>
      <c r="AZ26" s="59"/>
      <c r="BA26" s="59">
        <v>1240178.5801140547</v>
      </c>
      <c r="BB26" s="59">
        <v>912518.85688218195</v>
      </c>
      <c r="BC26" s="59">
        <v>266847.31789796409</v>
      </c>
      <c r="BD26" s="59">
        <v>291666.6454783004</v>
      </c>
      <c r="BE26" s="59">
        <v>15745.184034791268</v>
      </c>
      <c r="BF26" s="59">
        <v>471540</v>
      </c>
      <c r="BG26" s="59">
        <v>3039102.6666666665</v>
      </c>
      <c r="BI26" s="59">
        <f t="shared" si="7"/>
        <v>1240178.5801140547</v>
      </c>
      <c r="BJ26" s="59">
        <f t="shared" si="8"/>
        <v>1486778.0042932378</v>
      </c>
    </row>
    <row r="27" spans="1:62" x14ac:dyDescent="0.3">
      <c r="A27" s="83">
        <v>43344</v>
      </c>
      <c r="C27" s="59">
        <v>2564571.6446178989</v>
      </c>
      <c r="D27" s="59">
        <v>1909999.0162468327</v>
      </c>
      <c r="E27" s="59">
        <v>323112.76917750249</v>
      </c>
      <c r="F27" s="59">
        <v>30029.287604575096</v>
      </c>
      <c r="G27" s="59">
        <v>1770008.7788809757</v>
      </c>
      <c r="H27" s="59">
        <v>3439019</v>
      </c>
      <c r="J27" s="93">
        <v>29790.423999999999</v>
      </c>
      <c r="K27" s="59"/>
      <c r="L27" s="64">
        <f t="shared" si="0"/>
        <v>2564571.6446178989</v>
      </c>
      <c r="M27" s="64">
        <f t="shared" si="1"/>
        <v>2203321.3614243348</v>
      </c>
      <c r="O27" s="59">
        <v>156159342.11636055</v>
      </c>
      <c r="P27" s="59">
        <v>40628961.181749597</v>
      </c>
      <c r="Q27" s="59">
        <v>3871314.3249418456</v>
      </c>
      <c r="R27" s="59">
        <v>108676949.47002827</v>
      </c>
      <c r="S27" s="59">
        <v>2318369.5633190442</v>
      </c>
      <c r="T27" s="59">
        <v>98437196.545900986</v>
      </c>
      <c r="U27" s="59">
        <v>0</v>
      </c>
      <c r="V27" s="59">
        <v>15966206.556870254</v>
      </c>
      <c r="W27" s="59">
        <v>1013195.4089112754</v>
      </c>
      <c r="X27" s="59">
        <v>1914250.9441555063</v>
      </c>
      <c r="Z27" s="64">
        <f t="shared" si="2"/>
        <v>156159342.11636055</v>
      </c>
      <c r="AA27" s="64">
        <f t="shared" si="3"/>
        <v>172474996.5058203</v>
      </c>
      <c r="AC27" s="64">
        <v>72022004.316770524</v>
      </c>
      <c r="AD27" s="64">
        <v>24668826.719687615</v>
      </c>
      <c r="AE27" s="64">
        <v>1684198.8772367761</v>
      </c>
      <c r="AF27" s="64">
        <v>48617020.943221904</v>
      </c>
      <c r="AG27" s="64">
        <v>589857.01021542167</v>
      </c>
      <c r="AH27" s="64">
        <v>32095419.333333336</v>
      </c>
      <c r="AI27" s="64">
        <v>37258004</v>
      </c>
      <c r="AJ27" s="64">
        <v>5420372.0087477174</v>
      </c>
      <c r="AK27" s="64">
        <v>602902.78065952042</v>
      </c>
      <c r="AL27" s="64">
        <v>1146357.4635999999</v>
      </c>
      <c r="AN27" s="64">
        <f t="shared" si="4"/>
        <v>72022004.316770524</v>
      </c>
      <c r="AO27" s="64">
        <f t="shared" si="5"/>
        <v>81583178.339768946</v>
      </c>
      <c r="AQ27" s="59">
        <v>1376386.411529131</v>
      </c>
      <c r="AR27" s="59">
        <v>1264775.8575856306</v>
      </c>
      <c r="AS27" s="59">
        <v>0</v>
      </c>
      <c r="AT27" s="59">
        <v>212143.11661081266</v>
      </c>
      <c r="AU27" s="59">
        <v>120202</v>
      </c>
      <c r="AV27" s="59">
        <v>3034017</v>
      </c>
      <c r="AW27" s="59"/>
      <c r="AX27" s="59">
        <f t="shared" si="6"/>
        <v>1376386.411529131</v>
      </c>
      <c r="AY27" s="59">
        <f t="shared" si="6"/>
        <v>1264775.8575856306</v>
      </c>
      <c r="AZ27" s="59"/>
      <c r="BA27" s="59">
        <v>1297818.7404801745</v>
      </c>
      <c r="BB27" s="59">
        <v>937309.04134962126</v>
      </c>
      <c r="BC27" s="59">
        <v>252390.59190191911</v>
      </c>
      <c r="BD27" s="59">
        <v>464066.51471519365</v>
      </c>
      <c r="BE27" s="59">
        <v>139566.79282165511</v>
      </c>
      <c r="BF27" s="59">
        <v>478406</v>
      </c>
      <c r="BG27" s="59">
        <v>3184848</v>
      </c>
      <c r="BI27" s="59">
        <f t="shared" si="7"/>
        <v>1297818.7404801745</v>
      </c>
      <c r="BJ27" s="59">
        <f t="shared" si="8"/>
        <v>1793332.9407883892</v>
      </c>
    </row>
    <row r="28" spans="1:62" x14ac:dyDescent="0.3">
      <c r="A28" s="83">
        <v>43374</v>
      </c>
      <c r="C28" s="59">
        <v>7063010.9983676886</v>
      </c>
      <c r="D28" s="59">
        <v>4134133.611057634</v>
      </c>
      <c r="E28" s="59">
        <v>548680.96121544391</v>
      </c>
      <c r="F28" s="59">
        <v>65561.625791577448</v>
      </c>
      <c r="G28" s="59">
        <v>1942878.0492958704</v>
      </c>
      <c r="H28" s="59">
        <v>3521387</v>
      </c>
      <c r="J28" s="93">
        <v>36487.103999999999</v>
      </c>
      <c r="K28" s="59"/>
      <c r="L28" s="64">
        <f t="shared" si="0"/>
        <v>7063010.9983676886</v>
      </c>
      <c r="M28" s="64">
        <f t="shared" si="1"/>
        <v>4646327.4682730772</v>
      </c>
      <c r="O28" s="59">
        <v>183031373.61970872</v>
      </c>
      <c r="P28" s="59">
        <v>44925432.69122763</v>
      </c>
      <c r="Q28" s="59">
        <v>4584975.9970950345</v>
      </c>
      <c r="R28" s="59">
        <v>118418552.1243321</v>
      </c>
      <c r="S28" s="59">
        <v>2602602.7013939172</v>
      </c>
      <c r="T28" s="59">
        <v>94297911.091598615</v>
      </c>
      <c r="U28" s="59">
        <v>0</v>
      </c>
      <c r="V28" s="59">
        <v>9702596.3051993027</v>
      </c>
      <c r="W28" s="59">
        <v>593198.77917257301</v>
      </c>
      <c r="X28" s="59">
        <v>1913636.9886240698</v>
      </c>
      <c r="Z28" s="64">
        <f t="shared" si="2"/>
        <v>183031373.61970872</v>
      </c>
      <c r="AA28" s="64">
        <f t="shared" si="3"/>
        <v>180827358.59842056</v>
      </c>
      <c r="AC28" s="64">
        <v>88470429.953804463</v>
      </c>
      <c r="AD28" s="64">
        <v>26926949.143547378</v>
      </c>
      <c r="AE28" s="64">
        <v>2002469.3052419731</v>
      </c>
      <c r="AF28" s="64">
        <v>52967006.003658555</v>
      </c>
      <c r="AG28" s="64">
        <v>654466.70020880527</v>
      </c>
      <c r="AH28" s="64">
        <v>31025795.333333336</v>
      </c>
      <c r="AI28" s="64">
        <v>38516253</v>
      </c>
      <c r="AJ28" s="64">
        <v>4112633.0802687327</v>
      </c>
      <c r="AK28" s="64">
        <v>319210.70363312244</v>
      </c>
      <c r="AL28" s="64">
        <v>1146695.0325</v>
      </c>
      <c r="AN28" s="64">
        <f t="shared" si="4"/>
        <v>88470429.953804463</v>
      </c>
      <c r="AO28" s="64">
        <f t="shared" si="5"/>
        <v>86982734.93655856</v>
      </c>
      <c r="AQ28" s="59">
        <v>3751050.9240243533</v>
      </c>
      <c r="AR28" s="59">
        <v>2241324.0973200933</v>
      </c>
      <c r="AS28" s="59">
        <v>0</v>
      </c>
      <c r="AT28" s="59">
        <v>223805.97370000309</v>
      </c>
      <c r="AU28" s="59">
        <v>113325</v>
      </c>
      <c r="AV28" s="59">
        <v>3219739</v>
      </c>
      <c r="AW28" s="59"/>
      <c r="AX28" s="59">
        <f t="shared" si="6"/>
        <v>3751050.9240243533</v>
      </c>
      <c r="AY28" s="59">
        <f t="shared" si="6"/>
        <v>2241324.0973200933</v>
      </c>
      <c r="AZ28" s="59"/>
      <c r="BA28" s="59">
        <v>2983838.7652525529</v>
      </c>
      <c r="BB28" s="59">
        <v>1794592.7892401072</v>
      </c>
      <c r="BC28" s="59">
        <v>413837.51331229834</v>
      </c>
      <c r="BD28" s="59">
        <v>504701.70084385423</v>
      </c>
      <c r="BE28" s="59">
        <v>71616.780919400335</v>
      </c>
      <c r="BF28" s="59">
        <v>461884</v>
      </c>
      <c r="BG28" s="59">
        <v>3149915.3333333335</v>
      </c>
      <c r="BI28" s="59">
        <f t="shared" si="7"/>
        <v>2983838.7652525529</v>
      </c>
      <c r="BJ28" s="59">
        <f t="shared" si="8"/>
        <v>2784748.7843156606</v>
      </c>
    </row>
    <row r="29" spans="1:62" x14ac:dyDescent="0.3">
      <c r="A29" s="83">
        <v>43405</v>
      </c>
      <c r="C29" s="59">
        <v>15554562.931657003</v>
      </c>
      <c r="D29" s="59">
        <v>6838920.9684992228</v>
      </c>
      <c r="E29" s="59">
        <v>668726.51826851571</v>
      </c>
      <c r="F29" s="59">
        <v>112256.15622413193</v>
      </c>
      <c r="G29" s="59">
        <v>2607442.5015043798</v>
      </c>
      <c r="H29" s="59">
        <v>4042329</v>
      </c>
      <c r="J29" s="93">
        <v>47656.267999999996</v>
      </c>
      <c r="K29" s="59"/>
      <c r="L29" s="64">
        <f t="shared" si="0"/>
        <v>15554562.931657003</v>
      </c>
      <c r="M29" s="64">
        <f t="shared" si="1"/>
        <v>7459991.218767738</v>
      </c>
      <c r="O29" s="59">
        <v>227180868.63267744</v>
      </c>
      <c r="P29" s="59">
        <v>47420367.172033563</v>
      </c>
      <c r="Q29" s="59">
        <v>5458263.0424579829</v>
      </c>
      <c r="R29" s="59">
        <v>116321021.29030697</v>
      </c>
      <c r="S29" s="59">
        <v>2799148.6127921971</v>
      </c>
      <c r="T29" s="59">
        <v>96950272.886200964</v>
      </c>
      <c r="U29" s="59">
        <v>0</v>
      </c>
      <c r="V29" s="59">
        <v>4566873.3743849667</v>
      </c>
      <c r="W29" s="59">
        <v>311670.76794374269</v>
      </c>
      <c r="X29" s="59">
        <v>1913010.4622730161</v>
      </c>
      <c r="Z29" s="64">
        <f t="shared" si="2"/>
        <v>227180868.63267744</v>
      </c>
      <c r="AA29" s="64">
        <f t="shared" si="3"/>
        <v>176877344.25991943</v>
      </c>
      <c r="AC29" s="64">
        <v>114835868.83209895</v>
      </c>
      <c r="AD29" s="64">
        <v>29651126.807800025</v>
      </c>
      <c r="AE29" s="64">
        <v>2563046.8610677524</v>
      </c>
      <c r="AF29" s="64">
        <v>53383947.456381813</v>
      </c>
      <c r="AG29" s="64">
        <v>755088.32133643329</v>
      </c>
      <c r="AH29" s="64">
        <v>32023271.333333336</v>
      </c>
      <c r="AI29" s="64">
        <v>35797385</v>
      </c>
      <c r="AJ29" s="64">
        <v>3063141.421633088</v>
      </c>
      <c r="AK29" s="64">
        <v>194227.43929921434</v>
      </c>
      <c r="AL29" s="64">
        <v>1146717.6646</v>
      </c>
      <c r="AN29" s="64">
        <f t="shared" si="4"/>
        <v>114835868.83209895</v>
      </c>
      <c r="AO29" s="64">
        <f t="shared" si="5"/>
        <v>89610578.307518333</v>
      </c>
      <c r="AQ29" s="59">
        <v>7788775.0412284415</v>
      </c>
      <c r="AR29" s="59">
        <v>3240055.8637235472</v>
      </c>
      <c r="AS29" s="59">
        <v>0</v>
      </c>
      <c r="AT29" s="59">
        <v>274014.8873710772</v>
      </c>
      <c r="AU29" s="59">
        <v>135939</v>
      </c>
      <c r="AV29" s="59">
        <v>3060787</v>
      </c>
      <c r="AW29" s="59"/>
      <c r="AX29" s="59">
        <f t="shared" si="6"/>
        <v>7788775.0412284415</v>
      </c>
      <c r="AY29" s="59">
        <f t="shared" si="6"/>
        <v>3240055.8637235472</v>
      </c>
      <c r="AZ29" s="59"/>
      <c r="BA29" s="59">
        <v>6119497.4726482425</v>
      </c>
      <c r="BB29" s="59">
        <v>3153303.8242311175</v>
      </c>
      <c r="BC29" s="59">
        <v>498774.28283705201</v>
      </c>
      <c r="BD29" s="59">
        <v>512594.3931045488</v>
      </c>
      <c r="BE29" s="59">
        <v>14327.697470600637</v>
      </c>
      <c r="BF29" s="59">
        <v>485839</v>
      </c>
      <c r="BG29" s="59">
        <v>3520077</v>
      </c>
      <c r="BI29" s="59">
        <f t="shared" si="7"/>
        <v>6119497.4726482425</v>
      </c>
      <c r="BJ29" s="59">
        <f t="shared" si="8"/>
        <v>4179000.1976433191</v>
      </c>
    </row>
    <row r="30" spans="1:62" x14ac:dyDescent="0.3">
      <c r="A30" s="83">
        <v>43435</v>
      </c>
      <c r="C30" s="59">
        <v>21908105.294535559</v>
      </c>
      <c r="D30" s="59">
        <v>8167779.812147852</v>
      </c>
      <c r="E30" s="59">
        <v>606814.28203806444</v>
      </c>
      <c r="F30" s="59">
        <v>131857.94912667558</v>
      </c>
      <c r="G30" s="59">
        <v>2919465.3139597178</v>
      </c>
      <c r="H30" s="59">
        <v>4414279</v>
      </c>
      <c r="J30" s="93">
        <v>74705.248000000007</v>
      </c>
      <c r="K30" s="59"/>
      <c r="L30" s="64">
        <f t="shared" si="0"/>
        <v>21908105.294535559</v>
      </c>
      <c r="M30" s="64">
        <f t="shared" si="1"/>
        <v>8699888.846185917</v>
      </c>
      <c r="O30" s="59">
        <v>292519764.126279</v>
      </c>
      <c r="P30" s="59">
        <v>54384767.588283807</v>
      </c>
      <c r="Q30" s="59">
        <v>6918975.583505854</v>
      </c>
      <c r="R30" s="59">
        <v>125888687.41060504</v>
      </c>
      <c r="S30" s="59">
        <v>3350850.8734245114</v>
      </c>
      <c r="T30" s="59">
        <v>93501066.542433083</v>
      </c>
      <c r="U30" s="59">
        <v>0</v>
      </c>
      <c r="V30" s="59">
        <v>4070715.1913270764</v>
      </c>
      <c r="W30" s="59">
        <v>286866.49233704171</v>
      </c>
      <c r="X30" s="59">
        <v>1912474.2101815185</v>
      </c>
      <c r="Z30" s="64">
        <f t="shared" si="2"/>
        <v>292519764.126279</v>
      </c>
      <c r="AA30" s="64">
        <f t="shared" si="3"/>
        <v>194900863.13948333</v>
      </c>
      <c r="AC30" s="64">
        <v>145818008.13069981</v>
      </c>
      <c r="AD30" s="64">
        <v>35136088.086701937</v>
      </c>
      <c r="AE30" s="64">
        <v>3301117.8883707449</v>
      </c>
      <c r="AF30" s="64">
        <v>58925846.01026912</v>
      </c>
      <c r="AG30" s="64">
        <v>936671.37099238299</v>
      </c>
      <c r="AH30" s="64">
        <v>31158121.333333336</v>
      </c>
      <c r="AI30" s="64">
        <v>37089554</v>
      </c>
      <c r="AJ30" s="64">
        <v>3228590.3283342794</v>
      </c>
      <c r="AK30" s="64">
        <v>212360.32183410609</v>
      </c>
      <c r="AL30" s="64">
        <v>1147451.3014</v>
      </c>
      <c r="AN30" s="64">
        <f t="shared" si="4"/>
        <v>145818008.13069981</v>
      </c>
      <c r="AO30" s="64">
        <f t="shared" si="5"/>
        <v>101740674.00650255</v>
      </c>
      <c r="AQ30" s="59">
        <v>10383126.47913814</v>
      </c>
      <c r="AR30" s="59">
        <v>3610526.8015244342</v>
      </c>
      <c r="AS30" s="59">
        <v>0</v>
      </c>
      <c r="AT30" s="59">
        <v>239712.62145864623</v>
      </c>
      <c r="AU30" s="59">
        <v>128824</v>
      </c>
      <c r="AV30" s="59">
        <v>4065704</v>
      </c>
      <c r="AW30" s="59"/>
      <c r="AX30" s="59">
        <f t="shared" si="6"/>
        <v>10383126.47913814</v>
      </c>
      <c r="AY30" s="59">
        <f t="shared" si="6"/>
        <v>3610526.8015244342</v>
      </c>
      <c r="AZ30" s="59"/>
      <c r="BA30" s="59">
        <v>8595738.1840650383</v>
      </c>
      <c r="BB30" s="59">
        <v>4416767.4651657064</v>
      </c>
      <c r="BC30" s="59">
        <v>482379.01808840164</v>
      </c>
      <c r="BD30" s="59">
        <v>442770.4700320916</v>
      </c>
      <c r="BE30" s="59">
        <v>3827.0312571738687</v>
      </c>
      <c r="BF30" s="59">
        <v>451461</v>
      </c>
      <c r="BG30" s="59">
        <v>3544437</v>
      </c>
      <c r="BI30" s="59">
        <f t="shared" si="7"/>
        <v>8595738.1840650383</v>
      </c>
      <c r="BJ30" s="59">
        <f t="shared" si="8"/>
        <v>5345743.9845433729</v>
      </c>
    </row>
    <row r="31" spans="1:62" x14ac:dyDescent="0.3">
      <c r="A31" s="83">
        <v>43466</v>
      </c>
      <c r="C31" s="59">
        <v>21796197.25437424</v>
      </c>
      <c r="D31" s="59">
        <v>7848144.5550575573</v>
      </c>
      <c r="E31" s="59">
        <v>601572.76829329226</v>
      </c>
      <c r="F31" s="59">
        <v>130434.96810307654</v>
      </c>
      <c r="G31" s="59">
        <v>3346047.935105958</v>
      </c>
      <c r="H31" s="59">
        <v>4764720</v>
      </c>
      <c r="J31" s="93">
        <v>81674</v>
      </c>
      <c r="K31" s="59"/>
      <c r="L31" s="64">
        <f t="shared" si="0"/>
        <v>21796197.25437424</v>
      </c>
      <c r="M31" s="64">
        <f t="shared" si="1"/>
        <v>8368043.3233508505</v>
      </c>
      <c r="O31" s="59">
        <v>286285209.75459802</v>
      </c>
      <c r="P31" s="59">
        <v>53329571.104203932</v>
      </c>
      <c r="Q31" s="59">
        <v>6919118.477597367</v>
      </c>
      <c r="R31" s="59">
        <v>120797266.90788035</v>
      </c>
      <c r="S31" s="59">
        <v>3369787.8598994026</v>
      </c>
      <c r="T31" s="59">
        <v>94082592.83222723</v>
      </c>
      <c r="U31" s="59">
        <v>0</v>
      </c>
      <c r="V31" s="59">
        <v>4018649.6494774972</v>
      </c>
      <c r="W31" s="59">
        <v>294073.32648948091</v>
      </c>
      <c r="X31" s="59">
        <v>1911869.6509031816</v>
      </c>
      <c r="Z31" s="64">
        <f t="shared" si="2"/>
        <v>286285209.75459802</v>
      </c>
      <c r="AA31" s="64">
        <f t="shared" si="3"/>
        <v>188728467.32554805</v>
      </c>
      <c r="AC31" s="64">
        <v>136750814.64317784</v>
      </c>
      <c r="AD31" s="64">
        <v>33709812.718019053</v>
      </c>
      <c r="AE31" s="64">
        <v>3169003.4221755499</v>
      </c>
      <c r="AF31" s="64">
        <v>56128489.619654134</v>
      </c>
      <c r="AG31" s="64">
        <v>902007.26858703932</v>
      </c>
      <c r="AH31" s="64">
        <v>31849071.333333336</v>
      </c>
      <c r="AI31" s="64">
        <v>38364078</v>
      </c>
      <c r="AJ31" s="64">
        <v>3165473.1664850079</v>
      </c>
      <c r="AK31" s="64">
        <v>218592.2038842263</v>
      </c>
      <c r="AL31" s="64">
        <v>1147749.7004</v>
      </c>
      <c r="AN31" s="64">
        <f t="shared" si="4"/>
        <v>136750814.64317784</v>
      </c>
      <c r="AO31" s="64">
        <f t="shared" si="5"/>
        <v>97293378.398805022</v>
      </c>
      <c r="AQ31" s="59">
        <v>9868334.9157791417</v>
      </c>
      <c r="AR31" s="59">
        <v>3497406.0445651216</v>
      </c>
      <c r="AS31" s="59">
        <v>0</v>
      </c>
      <c r="AT31" s="59">
        <v>293651.61674906366</v>
      </c>
      <c r="AU31" s="59">
        <v>133847</v>
      </c>
      <c r="AV31" s="59">
        <v>4331600</v>
      </c>
      <c r="AW31" s="59"/>
      <c r="AX31" s="59">
        <f t="shared" si="6"/>
        <v>9868334.9157791417</v>
      </c>
      <c r="AY31" s="59">
        <f t="shared" si="6"/>
        <v>3497406.0445651216</v>
      </c>
      <c r="AZ31" s="59"/>
      <c r="BA31" s="59">
        <v>8665177.6205401756</v>
      </c>
      <c r="BB31" s="59">
        <v>4462799.3599303029</v>
      </c>
      <c r="BC31" s="59">
        <v>421524.90703617159</v>
      </c>
      <c r="BD31" s="59">
        <v>398796.71223163634</v>
      </c>
      <c r="BE31" s="59">
        <v>3669.7436000993935</v>
      </c>
      <c r="BF31" s="59">
        <v>461188</v>
      </c>
      <c r="BG31" s="59">
        <v>3641537</v>
      </c>
      <c r="BI31" s="59">
        <f t="shared" si="7"/>
        <v>8665177.6205401756</v>
      </c>
      <c r="BJ31" s="59">
        <f t="shared" si="8"/>
        <v>5286790.7227982096</v>
      </c>
    </row>
    <row r="32" spans="1:62" x14ac:dyDescent="0.3">
      <c r="A32" s="83">
        <v>43497</v>
      </c>
      <c r="C32" s="59">
        <v>17829401.068467811</v>
      </c>
      <c r="D32" s="59">
        <v>6423374.8412690917</v>
      </c>
      <c r="E32" s="59">
        <v>563651.39788568392</v>
      </c>
      <c r="F32" s="59">
        <v>120416.84389511558</v>
      </c>
      <c r="G32" s="59">
        <v>3657661.5948445811</v>
      </c>
      <c r="H32" s="59">
        <v>4884709</v>
      </c>
      <c r="J32" s="93">
        <v>68846.467999999993</v>
      </c>
      <c r="K32" s="59"/>
      <c r="L32" s="64">
        <f t="shared" si="0"/>
        <v>17829401.068467811</v>
      </c>
      <c r="M32" s="64">
        <f t="shared" si="1"/>
        <v>6918179.7711547753</v>
      </c>
      <c r="O32" s="59">
        <v>232421478.25804532</v>
      </c>
      <c r="P32" s="59">
        <v>45481929.946596064</v>
      </c>
      <c r="Q32" s="59">
        <v>5718854.134383535</v>
      </c>
      <c r="R32" s="59">
        <v>104670830.06422198</v>
      </c>
      <c r="S32" s="59">
        <v>2843949.6700512758</v>
      </c>
      <c r="T32" s="59">
        <v>95743150.239567146</v>
      </c>
      <c r="U32" s="59">
        <v>0</v>
      </c>
      <c r="V32" s="59">
        <v>3510743.9374128236</v>
      </c>
      <c r="W32" s="59">
        <v>247181.11448634093</v>
      </c>
      <c r="X32" s="59">
        <v>1911036.1288330313</v>
      </c>
      <c r="Z32" s="64">
        <f t="shared" si="2"/>
        <v>232421478.25804532</v>
      </c>
      <c r="AA32" s="64">
        <f t="shared" si="3"/>
        <v>162473488.86715201</v>
      </c>
      <c r="AC32" s="64">
        <v>109775129.9808567</v>
      </c>
      <c r="AD32" s="64">
        <v>28115231.775734037</v>
      </c>
      <c r="AE32" s="64">
        <v>2546095.7757360763</v>
      </c>
      <c r="AF32" s="64">
        <v>48016163.201651804</v>
      </c>
      <c r="AG32" s="64">
        <v>748307.5327005852</v>
      </c>
      <c r="AH32" s="64">
        <v>32196587.333333336</v>
      </c>
      <c r="AI32" s="64">
        <v>35801700</v>
      </c>
      <c r="AJ32" s="64">
        <v>2761631.4111848664</v>
      </c>
      <c r="AK32" s="64">
        <v>183918.15095893579</v>
      </c>
      <c r="AL32" s="64">
        <v>1147561.2989000001</v>
      </c>
      <c r="AN32" s="64">
        <f t="shared" si="4"/>
        <v>109775129.9808567</v>
      </c>
      <c r="AO32" s="64">
        <f t="shared" si="5"/>
        <v>82371347.847966298</v>
      </c>
      <c r="AQ32" s="59">
        <v>7837906.9549079277</v>
      </c>
      <c r="AR32" s="59">
        <v>2732808.6212807666</v>
      </c>
      <c r="AS32" s="59">
        <v>0</v>
      </c>
      <c r="AT32" s="59">
        <v>280564.67297664762</v>
      </c>
      <c r="AU32" s="59">
        <v>131552</v>
      </c>
      <c r="AV32" s="59">
        <v>3698669</v>
      </c>
      <c r="AW32" s="59"/>
      <c r="AX32" s="59">
        <f t="shared" si="6"/>
        <v>7837906.9549079277</v>
      </c>
      <c r="AY32" s="59">
        <f t="shared" si="6"/>
        <v>2732808.6212807666</v>
      </c>
      <c r="AZ32" s="59"/>
      <c r="BA32" s="59">
        <v>6511701.5743425246</v>
      </c>
      <c r="BB32" s="59">
        <v>3360797.9712634333</v>
      </c>
      <c r="BC32" s="59">
        <v>349511.63574849162</v>
      </c>
      <c r="BD32" s="59">
        <v>341069.17739935371</v>
      </c>
      <c r="BE32" s="59">
        <v>1.1310305779340186</v>
      </c>
      <c r="BF32" s="59">
        <v>514168</v>
      </c>
      <c r="BG32" s="59">
        <v>3963974</v>
      </c>
      <c r="BI32" s="59">
        <f t="shared" si="7"/>
        <v>6511701.5743425246</v>
      </c>
      <c r="BJ32" s="59">
        <f t="shared" si="8"/>
        <v>4051379.9154418567</v>
      </c>
    </row>
    <row r="33" spans="1:62" x14ac:dyDescent="0.3">
      <c r="A33" s="83">
        <v>43525</v>
      </c>
      <c r="C33" s="59">
        <v>15187398.040427679</v>
      </c>
      <c r="D33" s="59">
        <v>5455538.4098993437</v>
      </c>
      <c r="E33" s="59">
        <v>470407.25159617845</v>
      </c>
      <c r="F33" s="59">
        <v>107669.6323145005</v>
      </c>
      <c r="G33" s="59">
        <v>3030588.516086637</v>
      </c>
      <c r="H33" s="59">
        <v>4379854</v>
      </c>
      <c r="J33" s="93">
        <v>57609.870999999999</v>
      </c>
      <c r="K33" s="59"/>
      <c r="L33" s="64">
        <f t="shared" si="0"/>
        <v>15187398.040427679</v>
      </c>
      <c r="M33" s="64">
        <f t="shared" si="1"/>
        <v>5868335.7904955223</v>
      </c>
      <c r="O33" s="59">
        <v>230489879.22047371</v>
      </c>
      <c r="P33" s="59">
        <v>47574456.690805629</v>
      </c>
      <c r="Q33" s="59">
        <v>5666848.1329916054</v>
      </c>
      <c r="R33" s="59">
        <v>112280259.08804312</v>
      </c>
      <c r="S33" s="59">
        <v>2905990.257088521</v>
      </c>
      <c r="T33" s="59">
        <v>90610570.422950327</v>
      </c>
      <c r="U33" s="59">
        <v>0</v>
      </c>
      <c r="V33" s="59">
        <v>4349831.3532669973</v>
      </c>
      <c r="W33" s="59">
        <v>272368.38833450055</v>
      </c>
      <c r="X33" s="59">
        <v>1910097.882725927</v>
      </c>
      <c r="Z33" s="64">
        <f t="shared" si="2"/>
        <v>230489879.22047371</v>
      </c>
      <c r="AA33" s="64">
        <f t="shared" si="3"/>
        <v>173049753.91053036</v>
      </c>
      <c r="AC33" s="64">
        <v>111355833.90181404</v>
      </c>
      <c r="AD33" s="64">
        <v>29647302.837657318</v>
      </c>
      <c r="AE33" s="64">
        <v>2528464.8652742435</v>
      </c>
      <c r="AF33" s="64">
        <v>52667528.400841393</v>
      </c>
      <c r="AG33" s="64">
        <v>771754.5997748879</v>
      </c>
      <c r="AH33" s="64">
        <v>30740796.333333336</v>
      </c>
      <c r="AI33" s="64">
        <v>38381477</v>
      </c>
      <c r="AJ33" s="64">
        <v>3107254.5683420943</v>
      </c>
      <c r="AK33" s="64">
        <v>179340.59836114617</v>
      </c>
      <c r="AL33" s="64">
        <v>1148189.1688999999</v>
      </c>
      <c r="AN33" s="64">
        <f t="shared" si="4"/>
        <v>111355833.90181404</v>
      </c>
      <c r="AO33" s="64">
        <f t="shared" si="5"/>
        <v>88901645.870251074</v>
      </c>
      <c r="AQ33" s="59">
        <v>6965340.442502657</v>
      </c>
      <c r="AR33" s="59">
        <v>2357545.392239294</v>
      </c>
      <c r="AS33" s="59">
        <v>0</v>
      </c>
      <c r="AT33" s="59">
        <v>230205.21981093998</v>
      </c>
      <c r="AU33" s="59">
        <v>122330</v>
      </c>
      <c r="AV33" s="59">
        <v>3925726</v>
      </c>
      <c r="AW33" s="59"/>
      <c r="AX33" s="59">
        <f t="shared" si="6"/>
        <v>6965340.442502657</v>
      </c>
      <c r="AY33" s="59">
        <f t="shared" si="6"/>
        <v>2357545.392239294</v>
      </c>
      <c r="AZ33" s="59"/>
      <c r="BA33" s="59">
        <v>5858491.54853136</v>
      </c>
      <c r="BB33" s="59">
        <v>2990953.9469519439</v>
      </c>
      <c r="BC33" s="59">
        <v>366014.21798735094</v>
      </c>
      <c r="BD33" s="59">
        <v>327641.02504263795</v>
      </c>
      <c r="BE33" s="59">
        <v>69.939635441124409</v>
      </c>
      <c r="BF33" s="59">
        <v>512091</v>
      </c>
      <c r="BG33" s="59">
        <v>3681841</v>
      </c>
      <c r="BI33" s="59">
        <f t="shared" si="7"/>
        <v>5858491.54853136</v>
      </c>
      <c r="BJ33" s="59">
        <f t="shared" si="8"/>
        <v>3684679.1296173739</v>
      </c>
    </row>
    <row r="34" spans="1:62" x14ac:dyDescent="0.3">
      <c r="A34" s="83">
        <v>43556</v>
      </c>
      <c r="C34" s="59">
        <v>9149044.8181861825</v>
      </c>
      <c r="D34" s="59">
        <v>3437944.0706161531</v>
      </c>
      <c r="E34" s="59">
        <v>350337.79153833538</v>
      </c>
      <c r="F34" s="59">
        <v>76167.968265819974</v>
      </c>
      <c r="G34" s="59">
        <v>3054485.5272061024</v>
      </c>
      <c r="H34" s="59">
        <v>4408253</v>
      </c>
      <c r="J34" s="93">
        <v>49630.597999999998</v>
      </c>
      <c r="K34" s="59"/>
      <c r="L34" s="64">
        <f t="shared" si="0"/>
        <v>9149044.8181861825</v>
      </c>
      <c r="M34" s="64">
        <f t="shared" si="1"/>
        <v>3738651.2641544882</v>
      </c>
      <c r="O34" s="59">
        <v>185280490.12466276</v>
      </c>
      <c r="P34" s="59">
        <v>41480564.060487993</v>
      </c>
      <c r="Q34" s="59">
        <v>4591170.7808908485</v>
      </c>
      <c r="R34" s="59">
        <v>102743420.98660392</v>
      </c>
      <c r="S34" s="59">
        <v>2478424.0741572697</v>
      </c>
      <c r="T34" s="59">
        <v>95875214.420689717</v>
      </c>
      <c r="U34" s="59">
        <v>0</v>
      </c>
      <c r="V34" s="59">
        <v>6468355.4908481929</v>
      </c>
      <c r="W34" s="59">
        <v>473672.21710724162</v>
      </c>
      <c r="X34" s="59">
        <v>1909133.1353217498</v>
      </c>
      <c r="Z34" s="64">
        <f t="shared" si="2"/>
        <v>185280490.12466276</v>
      </c>
      <c r="AA34" s="64">
        <f t="shared" si="3"/>
        <v>158235607.61009544</v>
      </c>
      <c r="AC34" s="64">
        <v>90781169.394791797</v>
      </c>
      <c r="AD34" s="64">
        <v>25926370.538769152</v>
      </c>
      <c r="AE34" s="64">
        <v>2040999.576986779</v>
      </c>
      <c r="AF34" s="64">
        <v>48260384.605435841</v>
      </c>
      <c r="AG34" s="64">
        <v>646699.90345484577</v>
      </c>
      <c r="AH34" s="64">
        <v>32267698.333333336</v>
      </c>
      <c r="AI34" s="64">
        <v>36488151</v>
      </c>
      <c r="AJ34" s="64">
        <v>3153523.3031611284</v>
      </c>
      <c r="AK34" s="64">
        <v>155094.09901464838</v>
      </c>
      <c r="AL34" s="64">
        <v>1149008.6469999999</v>
      </c>
      <c r="AN34" s="64">
        <f t="shared" si="4"/>
        <v>90781169.394791797</v>
      </c>
      <c r="AO34" s="64">
        <f t="shared" si="5"/>
        <v>80183072.026822388</v>
      </c>
      <c r="AQ34" s="59">
        <v>4345490.838267914</v>
      </c>
      <c r="AR34" s="59">
        <v>1418925.2881047369</v>
      </c>
      <c r="AS34" s="59">
        <v>0</v>
      </c>
      <c r="AT34" s="59">
        <v>256157.556094923</v>
      </c>
      <c r="AU34" s="59">
        <v>134835</v>
      </c>
      <c r="AV34" s="59">
        <v>3322738</v>
      </c>
      <c r="AW34" s="59"/>
      <c r="AX34" s="59">
        <f t="shared" si="6"/>
        <v>4345490.838267914</v>
      </c>
      <c r="AY34" s="59">
        <f t="shared" si="6"/>
        <v>1418925.2881047369</v>
      </c>
      <c r="AZ34" s="59"/>
      <c r="BA34" s="59">
        <v>4117377.6579242912</v>
      </c>
      <c r="BB34" s="59">
        <v>2079005.8087061555</v>
      </c>
      <c r="BC34" s="59">
        <v>288642.82015229028</v>
      </c>
      <c r="BD34" s="59">
        <v>277200.45505876292</v>
      </c>
      <c r="BE34" s="59">
        <v>523.15893210255888</v>
      </c>
      <c r="BF34" s="59">
        <v>537522</v>
      </c>
      <c r="BG34" s="59">
        <v>3783933</v>
      </c>
      <c r="BI34" s="59">
        <f t="shared" si="7"/>
        <v>4117377.6579242912</v>
      </c>
      <c r="BJ34" s="59">
        <f t="shared" si="8"/>
        <v>2645372.2428493109</v>
      </c>
    </row>
    <row r="35" spans="1:62" x14ac:dyDescent="0.3">
      <c r="A35" s="83">
        <v>43586</v>
      </c>
      <c r="C35" s="59">
        <v>5117456.8493705783</v>
      </c>
      <c r="D35" s="59">
        <v>2080782.2178893208</v>
      </c>
      <c r="E35" s="59">
        <v>271779.85075474816</v>
      </c>
      <c r="F35" s="59">
        <v>57298.16514070527</v>
      </c>
      <c r="G35" s="59">
        <v>2565180.5345043964</v>
      </c>
      <c r="H35" s="59">
        <v>3991632</v>
      </c>
      <c r="J35" s="93">
        <v>46983.592000000004</v>
      </c>
      <c r="K35" s="59"/>
      <c r="L35" s="64">
        <f t="shared" si="0"/>
        <v>5117456.8493705783</v>
      </c>
      <c r="M35" s="64">
        <f t="shared" si="1"/>
        <v>2305578.476644069</v>
      </c>
      <c r="O35" s="59">
        <v>169485720.04313427</v>
      </c>
      <c r="P35" s="59">
        <v>41338276.668971412</v>
      </c>
      <c r="Q35" s="59">
        <v>4259094.918794129</v>
      </c>
      <c r="R35" s="59">
        <v>108074352.07651706</v>
      </c>
      <c r="S35" s="59">
        <v>2422282.7951924358</v>
      </c>
      <c r="T35" s="59">
        <v>93280635.312366769</v>
      </c>
      <c r="U35" s="59">
        <v>0</v>
      </c>
      <c r="V35" s="59">
        <v>11601465.389105404</v>
      </c>
      <c r="W35" s="59">
        <v>779586.11674581119</v>
      </c>
      <c r="X35" s="59">
        <v>1908202.5695128338</v>
      </c>
      <c r="Z35" s="64">
        <f t="shared" si="2"/>
        <v>169485720.04313427</v>
      </c>
      <c r="AA35" s="64">
        <f t="shared" si="3"/>
        <v>168475057.96532628</v>
      </c>
      <c r="AC35" s="64">
        <v>82128424.484125942</v>
      </c>
      <c r="AD35" s="64">
        <v>25616900.769627344</v>
      </c>
      <c r="AE35" s="64">
        <v>1835432.4106373268</v>
      </c>
      <c r="AF35" s="64">
        <v>49691789.159045316</v>
      </c>
      <c r="AG35" s="64">
        <v>625163.55111064017</v>
      </c>
      <c r="AH35" s="64">
        <v>31172306.333333336</v>
      </c>
      <c r="AI35" s="64">
        <v>38295631</v>
      </c>
      <c r="AJ35" s="64">
        <v>4049611.1474340814</v>
      </c>
      <c r="AK35" s="64">
        <v>269652.39854245092</v>
      </c>
      <c r="AL35" s="64">
        <v>1149171.719</v>
      </c>
      <c r="AN35" s="64">
        <f t="shared" si="4"/>
        <v>82128424.484125942</v>
      </c>
      <c r="AO35" s="64">
        <f t="shared" si="5"/>
        <v>82088549.436397165</v>
      </c>
      <c r="AQ35" s="59">
        <v>2485640.8258887609</v>
      </c>
      <c r="AR35" s="59">
        <v>911912.1572559179</v>
      </c>
      <c r="AS35" s="59">
        <v>0</v>
      </c>
      <c r="AT35" s="59">
        <v>283152.84290088806</v>
      </c>
      <c r="AU35" s="59">
        <v>123669.00000000001</v>
      </c>
      <c r="AV35" s="59">
        <v>2843407</v>
      </c>
      <c r="AW35" s="59"/>
      <c r="AX35" s="59">
        <f t="shared" si="6"/>
        <v>2485640.8258887609</v>
      </c>
      <c r="AY35" s="59">
        <f t="shared" si="6"/>
        <v>911912.1572559179</v>
      </c>
      <c r="AZ35" s="59"/>
      <c r="BA35" s="59">
        <v>2529906.4330620682</v>
      </c>
      <c r="BB35" s="59">
        <v>1322030.9883909123</v>
      </c>
      <c r="BC35" s="59">
        <v>238137.13316742342</v>
      </c>
      <c r="BD35" s="59">
        <v>227185.91954931986</v>
      </c>
      <c r="BE35" s="59">
        <v>759.40733665482878</v>
      </c>
      <c r="BF35" s="59">
        <v>519006</v>
      </c>
      <c r="BG35" s="59">
        <v>3576352</v>
      </c>
      <c r="BI35" s="59">
        <f t="shared" si="7"/>
        <v>2529906.4330620682</v>
      </c>
      <c r="BJ35" s="59">
        <f t="shared" si="8"/>
        <v>1788113.4484443103</v>
      </c>
    </row>
    <row r="36" spans="1:62" x14ac:dyDescent="0.3">
      <c r="A36" s="83">
        <v>43617</v>
      </c>
      <c r="C36" s="59">
        <v>2974515.7142889695</v>
      </c>
      <c r="D36" s="59">
        <v>1444110.0475360567</v>
      </c>
      <c r="E36" s="59">
        <v>248118.51414532762</v>
      </c>
      <c r="F36" s="59">
        <v>43424.976926538191</v>
      </c>
      <c r="G36" s="59">
        <v>2195579.5390583114</v>
      </c>
      <c r="H36" s="59">
        <v>3663619</v>
      </c>
      <c r="J36" s="93">
        <v>30134.866000000002</v>
      </c>
      <c r="K36" s="59"/>
      <c r="L36" s="64">
        <f t="shared" si="0"/>
        <v>2974515.7142889695</v>
      </c>
      <c r="M36" s="64">
        <f t="shared" si="1"/>
        <v>1662093.6956813843</v>
      </c>
      <c r="O36" s="59">
        <v>161066595.17936149</v>
      </c>
      <c r="P36" s="59">
        <v>41979377.767180756</v>
      </c>
      <c r="Q36" s="59">
        <v>4055067.5133584719</v>
      </c>
      <c r="R36" s="59">
        <v>111880597.63910225</v>
      </c>
      <c r="S36" s="59">
        <v>2377919.8210518453</v>
      </c>
      <c r="T36" s="59">
        <v>95868758.705977887</v>
      </c>
      <c r="U36" s="59">
        <v>0</v>
      </c>
      <c r="V36" s="59">
        <v>16482761.449431058</v>
      </c>
      <c r="W36" s="59">
        <v>1112329.366595868</v>
      </c>
      <c r="X36" s="59">
        <v>1907408.4543826913</v>
      </c>
      <c r="Z36" s="64">
        <f t="shared" si="2"/>
        <v>161066595.17936149</v>
      </c>
      <c r="AA36" s="64">
        <f t="shared" si="3"/>
        <v>177888053.55672026</v>
      </c>
      <c r="AC36" s="64">
        <v>77757566.20937176</v>
      </c>
      <c r="AD36" s="64">
        <v>25888170.605565421</v>
      </c>
      <c r="AE36" s="64">
        <v>1743414.6259514554</v>
      </c>
      <c r="AF36" s="64">
        <v>50734338.979577877</v>
      </c>
      <c r="AG36" s="64">
        <v>614011.53238117788</v>
      </c>
      <c r="AH36" s="64">
        <v>31335829.333333336</v>
      </c>
      <c r="AI36" s="64">
        <v>37899127</v>
      </c>
      <c r="AJ36" s="64">
        <v>5278204.7223710492</v>
      </c>
      <c r="AK36" s="64">
        <v>435125.65477417369</v>
      </c>
      <c r="AL36" s="64">
        <v>1149286.2516000001</v>
      </c>
      <c r="AN36" s="64">
        <f t="shared" si="4"/>
        <v>77757566.20937176</v>
      </c>
      <c r="AO36" s="64">
        <f t="shared" si="5"/>
        <v>84693266.12062116</v>
      </c>
      <c r="AQ36" s="59">
        <v>1498331.2420831453</v>
      </c>
      <c r="AR36" s="59">
        <v>815797.09670215647</v>
      </c>
      <c r="AS36" s="59">
        <v>0</v>
      </c>
      <c r="AT36" s="59">
        <v>303609.66594222712</v>
      </c>
      <c r="AU36" s="59">
        <v>119440</v>
      </c>
      <c r="AV36" s="59">
        <v>2820774</v>
      </c>
      <c r="AW36" s="59"/>
      <c r="AX36" s="59">
        <f t="shared" si="6"/>
        <v>1498331.2420831453</v>
      </c>
      <c r="AY36" s="59">
        <f t="shared" si="6"/>
        <v>815797.09670215647</v>
      </c>
      <c r="AZ36" s="59"/>
      <c r="BA36" s="59">
        <v>1541477.4577323925</v>
      </c>
      <c r="BB36" s="59">
        <v>892983.25987798302</v>
      </c>
      <c r="BC36" s="59">
        <v>215979.46564547025</v>
      </c>
      <c r="BD36" s="59">
        <v>211031.21858092298</v>
      </c>
      <c r="BE36" s="59">
        <v>8162.5838814506678</v>
      </c>
      <c r="BF36" s="59">
        <v>500041</v>
      </c>
      <c r="BG36" s="59">
        <v>3403590</v>
      </c>
      <c r="BI36" s="59">
        <f t="shared" si="7"/>
        <v>1541477.4577323925</v>
      </c>
      <c r="BJ36" s="59">
        <f t="shared" si="8"/>
        <v>1328156.5279858268</v>
      </c>
    </row>
    <row r="37" spans="1:62" x14ac:dyDescent="0.3">
      <c r="A37" s="83">
        <v>43647</v>
      </c>
      <c r="C37" s="59">
        <v>2377004.2715832931</v>
      </c>
      <c r="D37" s="59">
        <v>1326775.540511793</v>
      </c>
      <c r="E37" s="59">
        <v>265552.93276768434</v>
      </c>
      <c r="F37" s="59">
        <v>39370.401301217848</v>
      </c>
      <c r="G37" s="59">
        <v>1932567.1561958343</v>
      </c>
      <c r="H37" s="59">
        <v>3537185</v>
      </c>
      <c r="J37" s="93">
        <v>28316.563000000002</v>
      </c>
      <c r="K37" s="59"/>
      <c r="L37" s="64">
        <f t="shared" si="0"/>
        <v>2377004.2715832931</v>
      </c>
      <c r="M37" s="64">
        <f t="shared" si="1"/>
        <v>1564011.9102794772</v>
      </c>
      <c r="O37" s="59">
        <v>192972666.77433625</v>
      </c>
      <c r="P37" s="59">
        <v>49579663.616574481</v>
      </c>
      <c r="Q37" s="59">
        <v>4510780.4615031937</v>
      </c>
      <c r="R37" s="59">
        <v>129289946.42195874</v>
      </c>
      <c r="S37" s="59">
        <v>2735852.8594235983</v>
      </c>
      <c r="T37" s="59">
        <v>94563343.962738931</v>
      </c>
      <c r="U37" s="59">
        <v>0</v>
      </c>
      <c r="V37" s="59">
        <v>22586636.852306094</v>
      </c>
      <c r="W37" s="59">
        <v>1731327.0450277193</v>
      </c>
      <c r="X37" s="59">
        <v>1906628.4036374371</v>
      </c>
      <c r="Z37" s="64">
        <f t="shared" si="2"/>
        <v>192972666.77433625</v>
      </c>
      <c r="AA37" s="64">
        <f t="shared" si="3"/>
        <v>210434207.25679386</v>
      </c>
      <c r="AC37" s="64">
        <v>91884516.617391616</v>
      </c>
      <c r="AD37" s="64">
        <v>31204086.416454677</v>
      </c>
      <c r="AE37" s="64">
        <v>2007915.4679300918</v>
      </c>
      <c r="AF37" s="64">
        <v>58895782.296654344</v>
      </c>
      <c r="AG37" s="64">
        <v>725809.83964422357</v>
      </c>
      <c r="AH37" s="64">
        <v>31061327.333333336</v>
      </c>
      <c r="AI37" s="64">
        <v>40053994</v>
      </c>
      <c r="AJ37" s="64">
        <v>7505072.8777430709</v>
      </c>
      <c r="AK37" s="64">
        <v>812902.34548105532</v>
      </c>
      <c r="AL37" s="64">
        <v>1149901.9789</v>
      </c>
      <c r="AN37" s="64">
        <f t="shared" si="4"/>
        <v>91884516.617391616</v>
      </c>
      <c r="AO37" s="64">
        <f t="shared" si="5"/>
        <v>101151569.24390745</v>
      </c>
      <c r="AQ37" s="59">
        <v>1221681.0446115457</v>
      </c>
      <c r="AR37" s="59">
        <v>1010788.098208531</v>
      </c>
      <c r="AS37" s="59">
        <v>0</v>
      </c>
      <c r="AT37" s="59">
        <v>276901.22178599739</v>
      </c>
      <c r="AU37" s="59">
        <v>115429</v>
      </c>
      <c r="AV37" s="59">
        <v>2534804</v>
      </c>
      <c r="AW37" s="59"/>
      <c r="AX37" s="59">
        <f t="shared" si="6"/>
        <v>1221681.0446115457</v>
      </c>
      <c r="AY37" s="59">
        <f t="shared" si="6"/>
        <v>1010788.098208531</v>
      </c>
      <c r="AZ37" s="59"/>
      <c r="BA37" s="59">
        <v>1338180.6086023801</v>
      </c>
      <c r="BB37" s="59">
        <v>900877.98109186115</v>
      </c>
      <c r="BC37" s="59">
        <v>252666.97571329237</v>
      </c>
      <c r="BD37" s="59">
        <v>253925.16937943624</v>
      </c>
      <c r="BE37" s="59">
        <v>7449.0110349033903</v>
      </c>
      <c r="BF37" s="59">
        <v>498630</v>
      </c>
      <c r="BG37" s="59">
        <v>3344273</v>
      </c>
      <c r="BI37" s="59">
        <f t="shared" si="7"/>
        <v>1338180.6086023801</v>
      </c>
      <c r="BJ37" s="59">
        <f t="shared" si="8"/>
        <v>1414919.137219493</v>
      </c>
    </row>
    <row r="38" spans="1:62" x14ac:dyDescent="0.3">
      <c r="A38" s="83">
        <v>43678</v>
      </c>
      <c r="C38" s="59">
        <v>2171793.7663977151</v>
      </c>
      <c r="D38" s="59">
        <v>1434559.7727128658</v>
      </c>
      <c r="E38" s="59">
        <v>300332.44145737123</v>
      </c>
      <c r="F38" s="59">
        <v>26967.795031840011</v>
      </c>
      <c r="G38" s="59">
        <v>1783308.2371940077</v>
      </c>
      <c r="H38" s="59">
        <v>3343041</v>
      </c>
      <c r="J38" s="93">
        <v>27313.016</v>
      </c>
      <c r="K38" s="59"/>
      <c r="L38" s="64">
        <f t="shared" si="0"/>
        <v>2171793.7663977151</v>
      </c>
      <c r="M38" s="64">
        <f t="shared" si="1"/>
        <v>1707579.198170237</v>
      </c>
      <c r="O38" s="59">
        <v>188016803.82409561</v>
      </c>
      <c r="P38" s="59">
        <v>47651266.043977939</v>
      </c>
      <c r="Q38" s="59">
        <v>4346921.9963310473</v>
      </c>
      <c r="R38" s="59">
        <v>124210676.20868063</v>
      </c>
      <c r="S38" s="59">
        <v>2649544.0821847515</v>
      </c>
      <c r="T38" s="59">
        <v>96531602.376012772</v>
      </c>
      <c r="U38" s="59">
        <v>0</v>
      </c>
      <c r="V38" s="59">
        <v>23103467.11643409</v>
      </c>
      <c r="W38" s="59">
        <v>1596052.4265913132</v>
      </c>
      <c r="X38" s="59">
        <v>1905850.0198439513</v>
      </c>
      <c r="Z38" s="64">
        <f t="shared" si="2"/>
        <v>188016803.82409561</v>
      </c>
      <c r="AA38" s="64">
        <f t="shared" si="3"/>
        <v>203557927.87419978</v>
      </c>
      <c r="AC38" s="64">
        <v>85953945.640101746</v>
      </c>
      <c r="AD38" s="64">
        <v>30010915.196760476</v>
      </c>
      <c r="AE38" s="64">
        <v>1929186.9719172085</v>
      </c>
      <c r="AF38" s="64">
        <v>55907465.983944148</v>
      </c>
      <c r="AG38" s="64">
        <v>696988.01580780488</v>
      </c>
      <c r="AH38" s="64">
        <v>31740446.333333336</v>
      </c>
      <c r="AI38" s="64">
        <v>39771319</v>
      </c>
      <c r="AJ38" s="64">
        <v>7596386.7477801777</v>
      </c>
      <c r="AK38" s="64">
        <v>899820.6352815259</v>
      </c>
      <c r="AL38" s="64">
        <v>1150607.8255</v>
      </c>
      <c r="AN38" s="64">
        <f t="shared" si="4"/>
        <v>85953945.640101746</v>
      </c>
      <c r="AO38" s="64">
        <f t="shared" si="5"/>
        <v>97040763.55149135</v>
      </c>
      <c r="AQ38" s="59">
        <v>1087831.345158837</v>
      </c>
      <c r="AR38" s="59">
        <v>1208505.3923264993</v>
      </c>
      <c r="AS38" s="59">
        <v>0</v>
      </c>
      <c r="AT38" s="59">
        <v>242881.07765319635</v>
      </c>
      <c r="AU38" s="59">
        <v>112458.00000000001</v>
      </c>
      <c r="AV38" s="59">
        <v>2799857</v>
      </c>
      <c r="AW38" s="59"/>
      <c r="AX38" s="59">
        <f t="shared" si="6"/>
        <v>1087831.345158837</v>
      </c>
      <c r="AY38" s="59">
        <f t="shared" si="6"/>
        <v>1208505.3923264993</v>
      </c>
      <c r="AZ38" s="59"/>
      <c r="BA38" s="59">
        <v>1266736.7064028571</v>
      </c>
      <c r="BB38" s="59">
        <v>912125.28225100611</v>
      </c>
      <c r="BC38" s="59">
        <v>269347.32601280941</v>
      </c>
      <c r="BD38" s="59">
        <v>290656.85925531521</v>
      </c>
      <c r="BE38" s="59">
        <v>15428.253682915212</v>
      </c>
      <c r="BF38" s="59">
        <v>484440</v>
      </c>
      <c r="BG38" s="59">
        <v>3076087.6666666665</v>
      </c>
      <c r="BI38" s="59">
        <f t="shared" si="7"/>
        <v>1266736.7064028571</v>
      </c>
      <c r="BJ38" s="59">
        <f t="shared" si="8"/>
        <v>1487557.7212020459</v>
      </c>
    </row>
    <row r="39" spans="1:62" x14ac:dyDescent="0.3">
      <c r="A39" s="83">
        <v>43709</v>
      </c>
      <c r="C39" s="59">
        <v>2606190.2397127459</v>
      </c>
      <c r="D39" s="59">
        <v>1883426.2039958101</v>
      </c>
      <c r="E39" s="59">
        <v>325363.5498737361</v>
      </c>
      <c r="F39" s="59">
        <v>30148.976312582141</v>
      </c>
      <c r="G39" s="59">
        <v>1819185.9350338988</v>
      </c>
      <c r="H39" s="59">
        <v>3482690</v>
      </c>
      <c r="J39" s="93">
        <v>29790.423999999999</v>
      </c>
      <c r="K39" s="59"/>
      <c r="L39" s="64">
        <f t="shared" si="0"/>
        <v>2606190.2397127459</v>
      </c>
      <c r="M39" s="64">
        <f t="shared" si="1"/>
        <v>2178999.329869546</v>
      </c>
      <c r="O39" s="59">
        <v>159055594.65456253</v>
      </c>
      <c r="P39" s="59">
        <v>41214649.030672856</v>
      </c>
      <c r="Q39" s="59">
        <v>3976171.6729122656</v>
      </c>
      <c r="R39" s="59">
        <v>109763456.80525553</v>
      </c>
      <c r="S39" s="59">
        <v>2336579.8410155205</v>
      </c>
      <c r="T39" s="59">
        <v>99455210.110523701</v>
      </c>
      <c r="U39" s="59">
        <v>0</v>
      </c>
      <c r="V39" s="59">
        <v>16725595.211928876</v>
      </c>
      <c r="W39" s="59">
        <v>1040254.7137460852</v>
      </c>
      <c r="X39" s="59">
        <v>1905029.320866243</v>
      </c>
      <c r="Z39" s="64">
        <f t="shared" si="2"/>
        <v>159055594.65456253</v>
      </c>
      <c r="AA39" s="64">
        <f t="shared" si="3"/>
        <v>175056707.27553111</v>
      </c>
      <c r="AC39" s="64">
        <v>73423376.030895621</v>
      </c>
      <c r="AD39" s="64">
        <v>25301108.003376931</v>
      </c>
      <c r="AE39" s="64">
        <v>1732589.9348699185</v>
      </c>
      <c r="AF39" s="64">
        <v>48921369.969566502</v>
      </c>
      <c r="AG39" s="64">
        <v>598014.19718827214</v>
      </c>
      <c r="AH39" s="64">
        <v>32045682.333333336</v>
      </c>
      <c r="AI39" s="64">
        <v>38117658</v>
      </c>
      <c r="AJ39" s="64">
        <v>5581876.9758985359</v>
      </c>
      <c r="AK39" s="64">
        <v>590860.78123832052</v>
      </c>
      <c r="AL39" s="64">
        <v>1150852.2187999999</v>
      </c>
      <c r="AN39" s="64">
        <f t="shared" si="4"/>
        <v>73423376.030895621</v>
      </c>
      <c r="AO39" s="64">
        <f t="shared" si="5"/>
        <v>82725819.86213848</v>
      </c>
      <c r="AQ39" s="59">
        <v>1431414.4137861745</v>
      </c>
      <c r="AR39" s="59">
        <v>1268407.0370202167</v>
      </c>
      <c r="AS39" s="59">
        <v>0</v>
      </c>
      <c r="AT39" s="59">
        <v>221469.3866183408</v>
      </c>
      <c r="AU39" s="59">
        <v>125031</v>
      </c>
      <c r="AV39" s="59">
        <v>2942501</v>
      </c>
      <c r="AW39" s="59"/>
      <c r="AX39" s="59">
        <f t="shared" si="6"/>
        <v>1431414.4137861745</v>
      </c>
      <c r="AY39" s="59">
        <f t="shared" si="6"/>
        <v>1268407.0370202167</v>
      </c>
      <c r="AZ39" s="59"/>
      <c r="BA39" s="59">
        <v>1306753.5265881934</v>
      </c>
      <c r="BB39" s="59">
        <v>943559.30103540444</v>
      </c>
      <c r="BC39" s="59">
        <v>260002.11671936978</v>
      </c>
      <c r="BD39" s="59">
        <v>468252.64504571469</v>
      </c>
      <c r="BE39" s="59">
        <v>141134.89709970483</v>
      </c>
      <c r="BF39" s="59">
        <v>489106</v>
      </c>
      <c r="BG39" s="59">
        <v>3220769</v>
      </c>
      <c r="BI39" s="59">
        <f t="shared" si="7"/>
        <v>1306753.5265881934</v>
      </c>
      <c r="BJ39" s="59">
        <f t="shared" si="8"/>
        <v>1812948.9599001938</v>
      </c>
    </row>
    <row r="40" spans="1:62" x14ac:dyDescent="0.3">
      <c r="A40" s="83">
        <v>43739</v>
      </c>
      <c r="C40" s="59">
        <v>7163881.6368968664</v>
      </c>
      <c r="D40" s="59">
        <v>4158638.7965911813</v>
      </c>
      <c r="E40" s="59">
        <v>549756.99836781214</v>
      </c>
      <c r="F40" s="59">
        <v>65404.749489715636</v>
      </c>
      <c r="G40" s="59">
        <v>1976261.6500826022</v>
      </c>
      <c r="H40" s="59">
        <v>3564613</v>
      </c>
      <c r="J40" s="93">
        <v>36487.103999999999</v>
      </c>
      <c r="K40" s="59"/>
      <c r="L40" s="64">
        <f t="shared" si="0"/>
        <v>7163881.6368968664</v>
      </c>
      <c r="M40" s="64">
        <f t="shared" si="1"/>
        <v>4671908.6909589935</v>
      </c>
      <c r="O40" s="59">
        <v>184219210.34139132</v>
      </c>
      <c r="P40" s="59">
        <v>45442718.302665815</v>
      </c>
      <c r="Q40" s="59">
        <v>4684937.5418108422</v>
      </c>
      <c r="R40" s="59">
        <v>119624732.80523992</v>
      </c>
      <c r="S40" s="59">
        <v>2612133.9471483734</v>
      </c>
      <c r="T40" s="59">
        <v>95453251.830451936</v>
      </c>
      <c r="U40" s="59">
        <v>0</v>
      </c>
      <c r="V40" s="59">
        <v>10304046.328777321</v>
      </c>
      <c r="W40" s="59">
        <v>609651.27253982576</v>
      </c>
      <c r="X40" s="59">
        <v>1904242.1022588043</v>
      </c>
      <c r="Z40" s="64">
        <f t="shared" si="2"/>
        <v>184219210.34139132</v>
      </c>
      <c r="AA40" s="64">
        <f t="shared" si="3"/>
        <v>183278220.19818208</v>
      </c>
      <c r="AC40" s="64">
        <v>88911136.373749137</v>
      </c>
      <c r="AD40" s="64">
        <v>27352710.073228255</v>
      </c>
      <c r="AE40" s="64">
        <v>2058780.8511432996</v>
      </c>
      <c r="AF40" s="64">
        <v>53040485.628727399</v>
      </c>
      <c r="AG40" s="64">
        <v>656563.92988289893</v>
      </c>
      <c r="AH40" s="64">
        <v>30952767.333333336</v>
      </c>
      <c r="AI40" s="64">
        <v>39328419</v>
      </c>
      <c r="AJ40" s="64">
        <v>4205048.0011144802</v>
      </c>
      <c r="AK40" s="64">
        <v>312802.60899540299</v>
      </c>
      <c r="AL40" s="64">
        <v>1151140.5575000001</v>
      </c>
      <c r="AN40" s="64">
        <f t="shared" si="4"/>
        <v>88911136.373749137</v>
      </c>
      <c r="AO40" s="64">
        <f t="shared" si="5"/>
        <v>87626391.093091726</v>
      </c>
      <c r="AQ40" s="59">
        <v>3803838.8560091024</v>
      </c>
      <c r="AR40" s="59">
        <v>2256666.9234953234</v>
      </c>
      <c r="AS40" s="59">
        <v>0</v>
      </c>
      <c r="AT40" s="59">
        <v>220139.3274243442</v>
      </c>
      <c r="AU40" s="59">
        <v>119664.99999999999</v>
      </c>
      <c r="AV40" s="59">
        <v>3190101</v>
      </c>
      <c r="AW40" s="59"/>
      <c r="AX40" s="59">
        <f t="shared" si="6"/>
        <v>3803838.8560091024</v>
      </c>
      <c r="AY40" s="59">
        <f t="shared" si="6"/>
        <v>2256666.9234953234</v>
      </c>
      <c r="AZ40" s="59"/>
      <c r="BA40" s="59">
        <v>3014861.5676425588</v>
      </c>
      <c r="BB40" s="59">
        <v>1807411.3388304398</v>
      </c>
      <c r="BC40" s="59">
        <v>422898.16678281146</v>
      </c>
      <c r="BD40" s="59">
        <v>510434.700257955</v>
      </c>
      <c r="BE40" s="59">
        <v>71753.991319252265</v>
      </c>
      <c r="BF40" s="59">
        <v>473582</v>
      </c>
      <c r="BG40" s="59">
        <v>3184572.3333333335</v>
      </c>
      <c r="BI40" s="59">
        <f t="shared" si="7"/>
        <v>3014861.5676425588</v>
      </c>
      <c r="BJ40" s="59">
        <f t="shared" si="8"/>
        <v>2812498.1971904584</v>
      </c>
    </row>
    <row r="41" spans="1:62" x14ac:dyDescent="0.3">
      <c r="A41" s="83">
        <v>43770</v>
      </c>
      <c r="C41" s="59">
        <v>15707458.361740479</v>
      </c>
      <c r="D41" s="59">
        <v>6976696.5946150571</v>
      </c>
      <c r="E41" s="59">
        <v>669121.60696784558</v>
      </c>
      <c r="F41" s="59">
        <v>112112.42924937348</v>
      </c>
      <c r="G41" s="59">
        <v>2641225.4784202138</v>
      </c>
      <c r="H41" s="59">
        <v>4085112</v>
      </c>
      <c r="J41" s="93">
        <v>47656.267999999996</v>
      </c>
      <c r="K41" s="59"/>
      <c r="L41" s="64">
        <f t="shared" si="0"/>
        <v>15707458.361740479</v>
      </c>
      <c r="M41" s="64">
        <f t="shared" si="1"/>
        <v>7598161.9335829029</v>
      </c>
      <c r="O41" s="59">
        <v>227503973.23304558</v>
      </c>
      <c r="P41" s="59">
        <v>47825322.058941536</v>
      </c>
      <c r="Q41" s="59">
        <v>5545690.6592833009</v>
      </c>
      <c r="R41" s="59">
        <v>117094866.48120874</v>
      </c>
      <c r="S41" s="59">
        <v>2794694.0814767014</v>
      </c>
      <c r="T41" s="59">
        <v>97658124.855818674</v>
      </c>
      <c r="U41" s="59">
        <v>0</v>
      </c>
      <c r="V41" s="59">
        <v>4733331.4619309418</v>
      </c>
      <c r="W41" s="59">
        <v>312915.21918831806</v>
      </c>
      <c r="X41" s="59">
        <v>1903477.1950616986</v>
      </c>
      <c r="Z41" s="64">
        <f t="shared" si="2"/>
        <v>227503973.23304558</v>
      </c>
      <c r="AA41" s="64">
        <f t="shared" si="3"/>
        <v>178306819.96202952</v>
      </c>
      <c r="AC41" s="64">
        <v>115128849.27432887</v>
      </c>
      <c r="AD41" s="64">
        <v>29981076.498903647</v>
      </c>
      <c r="AE41" s="64">
        <v>2594309.4212381132</v>
      </c>
      <c r="AF41" s="64">
        <v>53370999.956542492</v>
      </c>
      <c r="AG41" s="64">
        <v>752585.39667772921</v>
      </c>
      <c r="AH41" s="64">
        <v>31951585.333333336</v>
      </c>
      <c r="AI41" s="64">
        <v>36545444</v>
      </c>
      <c r="AJ41" s="64">
        <v>3068016.3677668013</v>
      </c>
      <c r="AK41" s="64">
        <v>184856.06993786187</v>
      </c>
      <c r="AL41" s="64">
        <v>1151639.3917999999</v>
      </c>
      <c r="AN41" s="64">
        <f t="shared" si="4"/>
        <v>115128849.27432887</v>
      </c>
      <c r="AO41" s="64">
        <f t="shared" si="5"/>
        <v>89951843.711066633</v>
      </c>
      <c r="AQ41" s="59">
        <v>7835795.2384524737</v>
      </c>
      <c r="AR41" s="59">
        <v>3300921.0498819239</v>
      </c>
      <c r="AS41" s="59">
        <v>0</v>
      </c>
      <c r="AT41" s="59">
        <v>269283.35447043169</v>
      </c>
      <c r="AU41" s="59">
        <v>142178</v>
      </c>
      <c r="AV41" s="59">
        <v>3109404</v>
      </c>
      <c r="AW41" s="59"/>
      <c r="AX41" s="59">
        <f t="shared" si="6"/>
        <v>7835795.2384524737</v>
      </c>
      <c r="AY41" s="59">
        <f t="shared" si="6"/>
        <v>3300921.0498819239</v>
      </c>
      <c r="AZ41" s="59"/>
      <c r="BA41" s="59">
        <v>6167948.8042602343</v>
      </c>
      <c r="BB41" s="59">
        <v>3194723.6637996868</v>
      </c>
      <c r="BC41" s="59">
        <v>511287.63256744121</v>
      </c>
      <c r="BD41" s="59">
        <v>520120.80953888729</v>
      </c>
      <c r="BE41" s="59">
        <v>13933.300561316382</v>
      </c>
      <c r="BF41" s="59">
        <v>497282</v>
      </c>
      <c r="BG41" s="59">
        <v>3549106</v>
      </c>
      <c r="BI41" s="59">
        <f t="shared" si="7"/>
        <v>6167948.8042602343</v>
      </c>
      <c r="BJ41" s="59">
        <f t="shared" si="8"/>
        <v>4240065.4064673316</v>
      </c>
    </row>
    <row r="42" spans="1:62" x14ac:dyDescent="0.3">
      <c r="A42" s="83">
        <v>43800</v>
      </c>
      <c r="C42" s="59">
        <v>22069992.604826238</v>
      </c>
      <c r="D42" s="59">
        <v>8334614.5129958969</v>
      </c>
      <c r="E42" s="59">
        <v>605660.38312104135</v>
      </c>
      <c r="F42" s="59">
        <v>131334.32018695082</v>
      </c>
      <c r="G42" s="59">
        <v>2971911.0389667191</v>
      </c>
      <c r="H42" s="59">
        <v>4456618</v>
      </c>
      <c r="J42" s="93">
        <v>74705.248000000007</v>
      </c>
      <c r="K42" s="59"/>
      <c r="L42" s="64">
        <f t="shared" si="0"/>
        <v>22069992.604826238</v>
      </c>
      <c r="M42" s="64">
        <f t="shared" si="1"/>
        <v>8865569.6481169388</v>
      </c>
      <c r="O42" s="59">
        <v>292045274.91906178</v>
      </c>
      <c r="P42" s="59">
        <v>54387101.77334553</v>
      </c>
      <c r="Q42" s="59">
        <v>6999403.1724724285</v>
      </c>
      <c r="R42" s="59">
        <v>125446020.21456079</v>
      </c>
      <c r="S42" s="59">
        <v>3319826.8061487861</v>
      </c>
      <c r="T42" s="59">
        <v>94190773.779612437</v>
      </c>
      <c r="U42" s="59">
        <v>0</v>
      </c>
      <c r="V42" s="59">
        <v>4077816.1070819437</v>
      </c>
      <c r="W42" s="59">
        <v>282661.05422923801</v>
      </c>
      <c r="X42" s="59">
        <v>1902740.5061274222</v>
      </c>
      <c r="Z42" s="64">
        <f t="shared" si="2"/>
        <v>292045274.91906178</v>
      </c>
      <c r="AA42" s="64">
        <f t="shared" si="3"/>
        <v>194512829.12783873</v>
      </c>
      <c r="AC42" s="64">
        <v>146126347.98422426</v>
      </c>
      <c r="AD42" s="64">
        <v>35278358.053131178</v>
      </c>
      <c r="AE42" s="64">
        <v>3333575.689861259</v>
      </c>
      <c r="AF42" s="64">
        <v>58306656.618676193</v>
      </c>
      <c r="AG42" s="64">
        <v>928419.18844148947</v>
      </c>
      <c r="AH42" s="64">
        <v>31106921.333333336</v>
      </c>
      <c r="AI42" s="64">
        <v>37817608</v>
      </c>
      <c r="AJ42" s="64">
        <v>3178391.3778882269</v>
      </c>
      <c r="AK42" s="64">
        <v>200184.50876276894</v>
      </c>
      <c r="AL42" s="64">
        <v>1152043.6581000001</v>
      </c>
      <c r="AN42" s="64">
        <f t="shared" si="4"/>
        <v>146126347.98422426</v>
      </c>
      <c r="AO42" s="64">
        <f t="shared" si="5"/>
        <v>101225585.43676111</v>
      </c>
      <c r="AQ42" s="59">
        <v>10505885.817244148</v>
      </c>
      <c r="AR42" s="59">
        <v>3689417.3320480287</v>
      </c>
      <c r="AS42" s="59">
        <v>0</v>
      </c>
      <c r="AT42" s="59">
        <v>238215.47459228375</v>
      </c>
      <c r="AU42" s="59">
        <v>133139</v>
      </c>
      <c r="AV42" s="59">
        <v>4166724</v>
      </c>
      <c r="AW42" s="59"/>
      <c r="AX42" s="59">
        <f t="shared" si="6"/>
        <v>10505885.817244148</v>
      </c>
      <c r="AY42" s="59">
        <f t="shared" si="6"/>
        <v>3689417.3320480287</v>
      </c>
      <c r="AZ42" s="59"/>
      <c r="BA42" s="59">
        <v>8694654.6693178751</v>
      </c>
      <c r="BB42" s="59">
        <v>4453269.8611139413</v>
      </c>
      <c r="BC42" s="59">
        <v>492148.62962619629</v>
      </c>
      <c r="BD42" s="59">
        <v>446244.47845413513</v>
      </c>
      <c r="BE42" s="59">
        <v>3489.915324370535</v>
      </c>
      <c r="BF42" s="59">
        <v>462242</v>
      </c>
      <c r="BG42" s="59">
        <v>3576230</v>
      </c>
      <c r="BI42" s="59">
        <f t="shared" si="7"/>
        <v>8694654.6693178751</v>
      </c>
      <c r="BJ42" s="59">
        <f t="shared" si="8"/>
        <v>5395152.8845186429</v>
      </c>
    </row>
    <row r="43" spans="1:62" x14ac:dyDescent="0.3">
      <c r="A43" s="83">
        <v>43831</v>
      </c>
      <c r="C43" s="59">
        <v>21865729.803252812</v>
      </c>
      <c r="D43" s="59">
        <v>7976299.2436283845</v>
      </c>
      <c r="E43" s="59">
        <v>597231.82567983854</v>
      </c>
      <c r="F43" s="59">
        <v>129309.94687995223</v>
      </c>
      <c r="G43" s="59">
        <v>3407779.8907461856</v>
      </c>
      <c r="H43" s="59">
        <v>4806907</v>
      </c>
      <c r="J43" s="93">
        <v>81674</v>
      </c>
      <c r="K43" s="59"/>
      <c r="L43" s="64">
        <f t="shared" si="0"/>
        <v>21865729.803252812</v>
      </c>
      <c r="M43" s="64">
        <f t="shared" si="1"/>
        <v>8491857.0693082232</v>
      </c>
      <c r="O43" s="59">
        <v>287350347.39956546</v>
      </c>
      <c r="P43" s="59">
        <v>53311170.908653371</v>
      </c>
      <c r="Q43" s="59">
        <v>7020389.8258824535</v>
      </c>
      <c r="R43" s="59">
        <v>119999592.78569977</v>
      </c>
      <c r="S43" s="59">
        <v>3344337.2984022796</v>
      </c>
      <c r="T43" s="59">
        <v>94978316.528566211</v>
      </c>
      <c r="U43" s="59">
        <v>0</v>
      </c>
      <c r="V43" s="59">
        <v>3999123.9844792811</v>
      </c>
      <c r="W43" s="59">
        <v>291354.92078290146</v>
      </c>
      <c r="X43" s="59">
        <v>1901958.1974562476</v>
      </c>
      <c r="Z43" s="64">
        <f t="shared" si="2"/>
        <v>287350347.39956546</v>
      </c>
      <c r="AA43" s="64">
        <f t="shared" si="3"/>
        <v>187965969.72390005</v>
      </c>
      <c r="AC43" s="64">
        <v>137852970.87217307</v>
      </c>
      <c r="AD43" s="64">
        <v>33932264.522080272</v>
      </c>
      <c r="AE43" s="64">
        <v>3230909.4511604169</v>
      </c>
      <c r="AF43" s="64">
        <v>55568225.914619327</v>
      </c>
      <c r="AG43" s="64">
        <v>898850.63712744089</v>
      </c>
      <c r="AH43" s="64">
        <v>31782546.333333336</v>
      </c>
      <c r="AI43" s="64">
        <v>39091768</v>
      </c>
      <c r="AJ43" s="64">
        <v>3114368.047279885</v>
      </c>
      <c r="AK43" s="64">
        <v>204156.44720481441</v>
      </c>
      <c r="AL43" s="64">
        <v>1152381.4475</v>
      </c>
      <c r="AN43" s="64">
        <f t="shared" si="4"/>
        <v>137852970.87217307</v>
      </c>
      <c r="AO43" s="64">
        <f t="shared" si="5"/>
        <v>96948775.019472152</v>
      </c>
      <c r="AQ43" s="59">
        <v>9921015.639395602</v>
      </c>
      <c r="AR43" s="59">
        <v>3554199.9176458875</v>
      </c>
      <c r="AS43" s="59">
        <v>0</v>
      </c>
      <c r="AT43" s="59">
        <v>294169.98968688026</v>
      </c>
      <c r="AU43" s="59">
        <v>138159</v>
      </c>
      <c r="AV43" s="59">
        <v>4457081</v>
      </c>
      <c r="AW43" s="59"/>
      <c r="AX43" s="59">
        <f t="shared" si="6"/>
        <v>9921015.639395602</v>
      </c>
      <c r="AY43" s="59">
        <f t="shared" si="6"/>
        <v>3554199.9176458875</v>
      </c>
      <c r="AZ43" s="59"/>
      <c r="BA43" s="59">
        <v>8717097.8279417064</v>
      </c>
      <c r="BB43" s="59">
        <v>4479689.8976009209</v>
      </c>
      <c r="BC43" s="59">
        <v>429590.79167487298</v>
      </c>
      <c r="BD43" s="59">
        <v>400242.40934492019</v>
      </c>
      <c r="BE43" s="59">
        <v>3660.8392804952018</v>
      </c>
      <c r="BF43" s="59">
        <v>473009</v>
      </c>
      <c r="BG43" s="59">
        <v>3681049</v>
      </c>
      <c r="BI43" s="59">
        <f t="shared" si="7"/>
        <v>8717097.8279417064</v>
      </c>
      <c r="BJ43" s="59">
        <f t="shared" si="8"/>
        <v>5313183.9379012091</v>
      </c>
    </row>
    <row r="44" spans="1:62" x14ac:dyDescent="0.3">
      <c r="A44" s="83">
        <v>43862</v>
      </c>
      <c r="C44" s="59">
        <v>18490969.325991668</v>
      </c>
      <c r="D44" s="59">
        <v>6754785.202961389</v>
      </c>
      <c r="E44" s="59">
        <v>578831.69137490576</v>
      </c>
      <c r="F44" s="59">
        <v>123500.16680228322</v>
      </c>
      <c r="G44" s="59">
        <v>3702780.6186321196</v>
      </c>
      <c r="H44" s="59">
        <v>4926746</v>
      </c>
      <c r="J44" s="93">
        <v>68846.467999999993</v>
      </c>
      <c r="K44" s="59"/>
      <c r="L44" s="64">
        <f t="shared" si="0"/>
        <v>18490969.325991668</v>
      </c>
      <c r="M44" s="64">
        <f t="shared" si="1"/>
        <v>7264770.426336294</v>
      </c>
      <c r="O44" s="59">
        <v>234808367.25263411</v>
      </c>
      <c r="P44" s="59">
        <v>45772839.06046956</v>
      </c>
      <c r="Q44" s="59">
        <v>5859619.5854173712</v>
      </c>
      <c r="R44" s="59">
        <v>104623851.73361653</v>
      </c>
      <c r="S44" s="59">
        <v>2846592.4532987289</v>
      </c>
      <c r="T44" s="59">
        <v>96756050.690111265</v>
      </c>
      <c r="U44" s="59">
        <v>0</v>
      </c>
      <c r="V44" s="59">
        <v>3515766.7041448588</v>
      </c>
      <c r="W44" s="59">
        <v>246410.75891085225</v>
      </c>
      <c r="X44" s="59">
        <v>1901132.2430023365</v>
      </c>
      <c r="Z44" s="64">
        <f t="shared" si="2"/>
        <v>234808367.25263411</v>
      </c>
      <c r="AA44" s="64">
        <f t="shared" si="3"/>
        <v>162865080.29585791</v>
      </c>
      <c r="AC44" s="64">
        <v>110922544.10747251</v>
      </c>
      <c r="AD44" s="64">
        <v>28396296.417525381</v>
      </c>
      <c r="AE44" s="64">
        <v>2606582.810113485</v>
      </c>
      <c r="AF44" s="64">
        <v>47610777.35851045</v>
      </c>
      <c r="AG44" s="64">
        <v>746829.60955386807</v>
      </c>
      <c r="AH44" s="64">
        <v>32122714.333333336</v>
      </c>
      <c r="AI44" s="64">
        <v>36496925</v>
      </c>
      <c r="AJ44" s="64">
        <v>2725549.3536281469</v>
      </c>
      <c r="AK44" s="64">
        <v>169402.10924276907</v>
      </c>
      <c r="AL44" s="64">
        <v>1152794.1622000001</v>
      </c>
      <c r="AN44" s="64">
        <f t="shared" si="4"/>
        <v>110922544.10747251</v>
      </c>
      <c r="AO44" s="64">
        <f t="shared" si="5"/>
        <v>82255437.658574104</v>
      </c>
      <c r="AQ44" s="59">
        <v>8142110.0181164574</v>
      </c>
      <c r="AR44" s="59">
        <v>2854743.3523168578</v>
      </c>
      <c r="AS44" s="59">
        <v>0</v>
      </c>
      <c r="AT44" s="59">
        <v>284606.15212506824</v>
      </c>
      <c r="AU44" s="59">
        <v>136348</v>
      </c>
      <c r="AV44" s="59">
        <v>3848170</v>
      </c>
      <c r="AW44" s="59"/>
      <c r="AX44" s="59">
        <f t="shared" si="6"/>
        <v>8142110.0181164574</v>
      </c>
      <c r="AY44" s="59">
        <f t="shared" si="6"/>
        <v>2854743.3523168578</v>
      </c>
      <c r="AZ44" s="59"/>
      <c r="BA44" s="59">
        <v>6778938.2621631455</v>
      </c>
      <c r="BB44" s="59">
        <v>3486233.6585642253</v>
      </c>
      <c r="BC44" s="59">
        <v>364656.55307219498</v>
      </c>
      <c r="BD44" s="59">
        <v>352047.81800822821</v>
      </c>
      <c r="BE44" s="59">
        <v>1.1611670381753132</v>
      </c>
      <c r="BF44" s="59">
        <v>524433</v>
      </c>
      <c r="BG44" s="59">
        <v>4002878</v>
      </c>
      <c r="BI44" s="59">
        <f t="shared" si="7"/>
        <v>6778938.2621631455</v>
      </c>
      <c r="BJ44" s="59">
        <f t="shared" si="8"/>
        <v>4202939.1908116871</v>
      </c>
    </row>
    <row r="45" spans="1:62" x14ac:dyDescent="0.3">
      <c r="A45" s="83">
        <v>43891</v>
      </c>
      <c r="C45" s="59">
        <v>15248574.290755248</v>
      </c>
      <c r="D45" s="59">
        <v>5547857.6824569451</v>
      </c>
      <c r="E45" s="59">
        <v>467778.48841676698</v>
      </c>
      <c r="F45" s="59">
        <v>106866.01024665323</v>
      </c>
      <c r="G45" s="59">
        <v>3103986.9236165732</v>
      </c>
      <c r="H45" s="59">
        <v>4421741</v>
      </c>
      <c r="J45" s="93">
        <v>57609.870999999999</v>
      </c>
      <c r="K45" s="59"/>
      <c r="L45" s="64">
        <f t="shared" si="0"/>
        <v>15248574.290755248</v>
      </c>
      <c r="M45" s="64">
        <f t="shared" si="1"/>
        <v>5958026.2998737115</v>
      </c>
      <c r="O45" s="59">
        <v>233428793.80710644</v>
      </c>
      <c r="P45" s="59">
        <v>47898276.938605554</v>
      </c>
      <c r="Q45" s="59">
        <v>5812724.080803642</v>
      </c>
      <c r="R45" s="59">
        <v>112105507.64293349</v>
      </c>
      <c r="S45" s="59">
        <v>2906652.2548609446</v>
      </c>
      <c r="T45" s="59">
        <v>91480224.388953865</v>
      </c>
      <c r="U45" s="59">
        <v>0</v>
      </c>
      <c r="V45" s="59">
        <v>4266464.5820795279</v>
      </c>
      <c r="W45" s="59">
        <v>268830.31812616461</v>
      </c>
      <c r="X45" s="59">
        <v>1900290.5025164452</v>
      </c>
      <c r="Z45" s="64">
        <f t="shared" si="2"/>
        <v>233428793.80710644</v>
      </c>
      <c r="AA45" s="64">
        <f t="shared" si="3"/>
        <v>173258455.81740931</v>
      </c>
      <c r="AC45" s="64">
        <v>112811103.96830893</v>
      </c>
      <c r="AD45" s="64">
        <v>29972965.406192105</v>
      </c>
      <c r="AE45" s="64">
        <v>2577798.8163453573</v>
      </c>
      <c r="AF45" s="64">
        <v>52239354.668853045</v>
      </c>
      <c r="AG45" s="64">
        <v>774489.68805070175</v>
      </c>
      <c r="AH45" s="64">
        <v>30683023.333333336</v>
      </c>
      <c r="AI45" s="64">
        <v>39028603</v>
      </c>
      <c r="AJ45" s="64">
        <v>3060516.0323922085</v>
      </c>
      <c r="AK45" s="64">
        <v>169533.23563306656</v>
      </c>
      <c r="AL45" s="64">
        <v>1153235.6172</v>
      </c>
      <c r="AN45" s="64">
        <f t="shared" si="4"/>
        <v>112811103.96830893</v>
      </c>
      <c r="AO45" s="64">
        <f t="shared" si="5"/>
        <v>88794657.847466469</v>
      </c>
      <c r="AQ45" s="59">
        <v>7022178.5082459887</v>
      </c>
      <c r="AR45" s="59">
        <v>2371351.2470941278</v>
      </c>
      <c r="AS45" s="59">
        <v>0</v>
      </c>
      <c r="AT45" s="59">
        <v>228490.54687195641</v>
      </c>
      <c r="AU45" s="59">
        <v>127597</v>
      </c>
      <c r="AV45" s="59">
        <v>4063060</v>
      </c>
      <c r="AW45" s="59"/>
      <c r="AX45" s="59">
        <f t="shared" si="6"/>
        <v>7022178.5082459887</v>
      </c>
      <c r="AY45" s="59">
        <f t="shared" si="6"/>
        <v>2371351.2470941278</v>
      </c>
      <c r="AZ45" s="59"/>
      <c r="BA45" s="59">
        <v>5905701.1917733168</v>
      </c>
      <c r="BB45" s="59">
        <v>3002761.4611629993</v>
      </c>
      <c r="BC45" s="59">
        <v>369027.32406705013</v>
      </c>
      <c r="BD45" s="59">
        <v>326825.58020386682</v>
      </c>
      <c r="BE45" s="59">
        <v>35.032619709782949</v>
      </c>
      <c r="BF45" s="59">
        <v>523994</v>
      </c>
      <c r="BG45" s="59">
        <v>3726709</v>
      </c>
      <c r="BI45" s="59">
        <f t="shared" si="7"/>
        <v>5905701.1917733168</v>
      </c>
      <c r="BJ45" s="59">
        <f t="shared" si="8"/>
        <v>3698649.3980536261</v>
      </c>
    </row>
    <row r="46" spans="1:62" x14ac:dyDescent="0.3">
      <c r="A46" s="83">
        <v>43922</v>
      </c>
      <c r="C46" s="59">
        <v>9205221.1026312951</v>
      </c>
      <c r="D46" s="59">
        <v>3482414.4645007877</v>
      </c>
      <c r="E46" s="59">
        <v>348708.62167566799</v>
      </c>
      <c r="F46" s="59">
        <v>75699.09294533098</v>
      </c>
      <c r="G46" s="59">
        <v>3111637.4215909806</v>
      </c>
      <c r="H46" s="59">
        <v>4449988</v>
      </c>
      <c r="J46" s="93">
        <v>49630.597999999998</v>
      </c>
      <c r="K46" s="59"/>
      <c r="L46" s="64">
        <f t="shared" si="0"/>
        <v>9205221.1026312951</v>
      </c>
      <c r="M46" s="64">
        <f t="shared" si="1"/>
        <v>3781492.4881764557</v>
      </c>
      <c r="O46" s="59">
        <v>188249345.91412941</v>
      </c>
      <c r="P46" s="59">
        <v>41851290.320501916</v>
      </c>
      <c r="Q46" s="59">
        <v>4729920.3386834078</v>
      </c>
      <c r="R46" s="59">
        <v>102710247.5942494</v>
      </c>
      <c r="S46" s="59">
        <v>2483258.9337866893</v>
      </c>
      <c r="T46" s="59">
        <v>96838651.200000077</v>
      </c>
      <c r="U46" s="59">
        <v>0</v>
      </c>
      <c r="V46" s="59">
        <v>6181614.1712821629</v>
      </c>
      <c r="W46" s="59">
        <v>458025.40294678276</v>
      </c>
      <c r="X46" s="59">
        <v>1899484.6374989883</v>
      </c>
      <c r="Z46" s="64">
        <f t="shared" si="2"/>
        <v>188249345.91412941</v>
      </c>
      <c r="AA46" s="64">
        <f t="shared" si="3"/>
        <v>158414356.76145035</v>
      </c>
      <c r="AC46" s="64">
        <v>92445163.573899373</v>
      </c>
      <c r="AD46" s="64">
        <v>26282595.198966406</v>
      </c>
      <c r="AE46" s="64">
        <v>2109096.2450019084</v>
      </c>
      <c r="AF46" s="64">
        <v>47984909.886716187</v>
      </c>
      <c r="AG46" s="64">
        <v>648772.93421010266</v>
      </c>
      <c r="AH46" s="64">
        <v>32202730.333333336</v>
      </c>
      <c r="AI46" s="64">
        <v>37138601</v>
      </c>
      <c r="AJ46" s="64">
        <v>3089341.8435259406</v>
      </c>
      <c r="AK46" s="64">
        <v>150392.60454976407</v>
      </c>
      <c r="AL46" s="64">
        <v>1153592.1736999999</v>
      </c>
      <c r="AN46" s="64">
        <f t="shared" si="4"/>
        <v>92445163.573899373</v>
      </c>
      <c r="AO46" s="64">
        <f t="shared" si="5"/>
        <v>80265108.712970316</v>
      </c>
      <c r="AQ46" s="59">
        <v>4384352.4390407223</v>
      </c>
      <c r="AR46" s="59">
        <v>1425743.0186163955</v>
      </c>
      <c r="AS46" s="59">
        <v>0</v>
      </c>
      <c r="AT46" s="59">
        <v>248469.07694404526</v>
      </c>
      <c r="AU46" s="59">
        <v>140055</v>
      </c>
      <c r="AV46" s="59">
        <v>3428518</v>
      </c>
      <c r="AW46" s="59"/>
      <c r="AX46" s="59">
        <f t="shared" si="6"/>
        <v>4384352.4390407223</v>
      </c>
      <c r="AY46" s="59">
        <f t="shared" si="6"/>
        <v>1425743.0186163955</v>
      </c>
      <c r="AZ46" s="59"/>
      <c r="BA46" s="59">
        <v>4153702.7889369018</v>
      </c>
      <c r="BB46" s="59">
        <v>2086060.5242326278</v>
      </c>
      <c r="BC46" s="59">
        <v>291579.71124484012</v>
      </c>
      <c r="BD46" s="59">
        <v>277266.26935035124</v>
      </c>
      <c r="BE46" s="59">
        <v>475.71555962226824</v>
      </c>
      <c r="BF46" s="59">
        <v>547864</v>
      </c>
      <c r="BG46" s="59">
        <v>3834826</v>
      </c>
      <c r="BI46" s="59">
        <f t="shared" si="7"/>
        <v>4153702.7889369018</v>
      </c>
      <c r="BJ46" s="59">
        <f t="shared" si="8"/>
        <v>2655382.2203874416</v>
      </c>
    </row>
    <row r="47" spans="1:62" x14ac:dyDescent="0.3">
      <c r="A47" s="83">
        <v>43952</v>
      </c>
      <c r="C47" s="59">
        <v>5162096.7048791628</v>
      </c>
      <c r="D47" s="59">
        <v>2094927.5299352524</v>
      </c>
      <c r="E47" s="59">
        <v>272013.03045960731</v>
      </c>
      <c r="F47" s="59">
        <v>57201.874178466096</v>
      </c>
      <c r="G47" s="59">
        <v>2615643.2529229093</v>
      </c>
      <c r="H47" s="59">
        <v>4033218</v>
      </c>
      <c r="J47" s="93">
        <v>46983.592000000004</v>
      </c>
      <c r="K47" s="59"/>
      <c r="L47" s="64">
        <f t="shared" si="0"/>
        <v>5162096.7048791628</v>
      </c>
      <c r="M47" s="64">
        <f t="shared" si="1"/>
        <v>2319956.9683948597</v>
      </c>
      <c r="O47" s="59">
        <v>171706181.58223751</v>
      </c>
      <c r="P47" s="59">
        <v>41584874.684124961</v>
      </c>
      <c r="Q47" s="59">
        <v>4370659.0120821223</v>
      </c>
      <c r="R47" s="59">
        <v>107746102.00531316</v>
      </c>
      <c r="S47" s="59">
        <v>2421365.6360445358</v>
      </c>
      <c r="T47" s="59">
        <v>94156639.594727382</v>
      </c>
      <c r="U47" s="59">
        <v>0</v>
      </c>
      <c r="V47" s="59">
        <v>11203630.476861116</v>
      </c>
      <c r="W47" s="59">
        <v>763148.18211851385</v>
      </c>
      <c r="X47" s="59">
        <v>1898699.8460137583</v>
      </c>
      <c r="Z47" s="64">
        <f t="shared" si="2"/>
        <v>171706181.58223751</v>
      </c>
      <c r="AA47" s="64">
        <f t="shared" si="3"/>
        <v>168089779.99654439</v>
      </c>
      <c r="AC47" s="64">
        <v>83555514.072541788</v>
      </c>
      <c r="AD47" s="64">
        <v>25924499.91259969</v>
      </c>
      <c r="AE47" s="64">
        <v>1895599.443103034</v>
      </c>
      <c r="AF47" s="64">
        <v>49401731.380539298</v>
      </c>
      <c r="AG47" s="64">
        <v>627426.61914840469</v>
      </c>
      <c r="AH47" s="64">
        <v>31098359.333333336</v>
      </c>
      <c r="AI47" s="64">
        <v>38911518</v>
      </c>
      <c r="AJ47" s="64">
        <v>3937996.2176158717</v>
      </c>
      <c r="AK47" s="64">
        <v>260557.37029696433</v>
      </c>
      <c r="AL47" s="64">
        <v>1153963.7596</v>
      </c>
      <c r="AN47" s="64">
        <f t="shared" si="4"/>
        <v>83555514.072541788</v>
      </c>
      <c r="AO47" s="64">
        <f t="shared" si="5"/>
        <v>82047810.943303272</v>
      </c>
      <c r="AQ47" s="59">
        <v>2518487.7199555002</v>
      </c>
      <c r="AR47" s="59">
        <v>914565.37756088597</v>
      </c>
      <c r="AS47" s="59">
        <v>0</v>
      </c>
      <c r="AT47" s="59">
        <v>284786.75156511168</v>
      </c>
      <c r="AU47" s="59">
        <v>128664.99999999999</v>
      </c>
      <c r="AV47" s="59">
        <v>2922531</v>
      </c>
      <c r="AW47" s="59"/>
      <c r="AX47" s="59">
        <f t="shared" si="6"/>
        <v>2518487.7199555002</v>
      </c>
      <c r="AY47" s="59">
        <f t="shared" si="6"/>
        <v>914565.37756088597</v>
      </c>
      <c r="AZ47" s="59"/>
      <c r="BA47" s="59">
        <v>2552172.2798566055</v>
      </c>
      <c r="BB47" s="59">
        <v>1333690.7986994691</v>
      </c>
      <c r="BC47" s="59">
        <v>240407.10548972519</v>
      </c>
      <c r="BD47" s="59">
        <v>226543.84373890661</v>
      </c>
      <c r="BE47" s="59">
        <v>778.10092353105483</v>
      </c>
      <c r="BF47" s="59">
        <v>530663</v>
      </c>
      <c r="BG47" s="59">
        <v>3621315</v>
      </c>
      <c r="BI47" s="59">
        <f t="shared" si="7"/>
        <v>2552172.2798566055</v>
      </c>
      <c r="BJ47" s="59">
        <f t="shared" si="8"/>
        <v>1801419.8488516319</v>
      </c>
    </row>
    <row r="48" spans="1:62" x14ac:dyDescent="0.3">
      <c r="A48" s="83">
        <v>43983</v>
      </c>
      <c r="C48" s="59">
        <v>3028083.2346802573</v>
      </c>
      <c r="D48" s="59">
        <v>1430474.4005923127</v>
      </c>
      <c r="E48" s="59">
        <v>249930.87073849709</v>
      </c>
      <c r="F48" s="59">
        <v>43658.563586267766</v>
      </c>
      <c r="G48" s="59">
        <v>2239513.4538230542</v>
      </c>
      <c r="H48" s="59">
        <v>3705056</v>
      </c>
      <c r="J48" s="93">
        <v>30134.866000000002</v>
      </c>
      <c r="K48" s="59"/>
      <c r="L48" s="64">
        <f t="shared" si="0"/>
        <v>3028083.2346802573</v>
      </c>
      <c r="M48" s="64">
        <f t="shared" si="1"/>
        <v>1650270.4053308098</v>
      </c>
      <c r="O48" s="59">
        <v>162969220.697209</v>
      </c>
      <c r="P48" s="59">
        <v>42403516.057893783</v>
      </c>
      <c r="Q48" s="59">
        <v>4173000.0452069254</v>
      </c>
      <c r="R48" s="59">
        <v>112543346.13149902</v>
      </c>
      <c r="S48" s="59">
        <v>2391314.2403348824</v>
      </c>
      <c r="T48" s="59">
        <v>96838139.624910206</v>
      </c>
      <c r="U48" s="59">
        <v>0</v>
      </c>
      <c r="V48" s="59">
        <v>16467978.952932065</v>
      </c>
      <c r="W48" s="59">
        <v>1090303.6416092268</v>
      </c>
      <c r="X48" s="59">
        <v>1897921.7023888354</v>
      </c>
      <c r="Z48" s="64">
        <f t="shared" si="2"/>
        <v>162969220.697209</v>
      </c>
      <c r="AA48" s="64">
        <f t="shared" si="3"/>
        <v>179069459.06947589</v>
      </c>
      <c r="AC48" s="64">
        <v>78681690.140259206</v>
      </c>
      <c r="AD48" s="64">
        <v>26226236.909116708</v>
      </c>
      <c r="AE48" s="64">
        <v>1783410.423915193</v>
      </c>
      <c r="AF48" s="64">
        <v>50635157.140311308</v>
      </c>
      <c r="AG48" s="64">
        <v>615346.65414967714</v>
      </c>
      <c r="AH48" s="64">
        <v>31275571.333333336</v>
      </c>
      <c r="AI48" s="64">
        <v>38479856</v>
      </c>
      <c r="AJ48" s="64">
        <v>5209723.0598276854</v>
      </c>
      <c r="AK48" s="64">
        <v>419444.21715308307</v>
      </c>
      <c r="AL48" s="64">
        <v>1154446.4697</v>
      </c>
      <c r="AN48" s="64">
        <f t="shared" si="4"/>
        <v>78681690.140259206</v>
      </c>
      <c r="AO48" s="64">
        <f t="shared" si="5"/>
        <v>84889318.404473662</v>
      </c>
      <c r="AQ48" s="59">
        <v>1523797.6272405048</v>
      </c>
      <c r="AR48" s="59">
        <v>815940.675051759</v>
      </c>
      <c r="AS48" s="59">
        <v>0</v>
      </c>
      <c r="AT48" s="59">
        <v>302565.41115971655</v>
      </c>
      <c r="AU48" s="59">
        <v>124143.00000000001</v>
      </c>
      <c r="AV48" s="59">
        <v>2873315</v>
      </c>
      <c r="AW48" s="59"/>
      <c r="AX48" s="59">
        <f t="shared" si="6"/>
        <v>1523797.6272405048</v>
      </c>
      <c r="AY48" s="59">
        <f t="shared" si="6"/>
        <v>815940.675051759</v>
      </c>
      <c r="AZ48" s="59"/>
      <c r="BA48" s="59">
        <v>1559755.2555063879</v>
      </c>
      <c r="BB48" s="59">
        <v>901883.3927135074</v>
      </c>
      <c r="BC48" s="59">
        <v>218305.30181627971</v>
      </c>
      <c r="BD48" s="59">
        <v>210261.57250759422</v>
      </c>
      <c r="BE48" s="59">
        <v>8124.8093059247822</v>
      </c>
      <c r="BF48" s="59">
        <v>510824</v>
      </c>
      <c r="BG48" s="59">
        <v>3446134</v>
      </c>
      <c r="BI48" s="59">
        <f t="shared" si="7"/>
        <v>1559755.2555063879</v>
      </c>
      <c r="BJ48" s="59">
        <f t="shared" si="8"/>
        <v>1338575.0763433061</v>
      </c>
    </row>
    <row r="49" spans="1:62" x14ac:dyDescent="0.3">
      <c r="A49" s="83">
        <v>44013</v>
      </c>
      <c r="C49" s="59">
        <v>2446966.4303373885</v>
      </c>
      <c r="D49" s="59">
        <v>1291491.977531052</v>
      </c>
      <c r="E49" s="59">
        <v>270984.2665614349</v>
      </c>
      <c r="F49" s="59">
        <v>40042.271125452928</v>
      </c>
      <c r="G49" s="59">
        <v>1976563.5336075388</v>
      </c>
      <c r="H49" s="59">
        <v>3578473</v>
      </c>
      <c r="J49" s="93">
        <v>28316.563000000002</v>
      </c>
      <c r="K49" s="59"/>
      <c r="L49" s="64">
        <f t="shared" si="0"/>
        <v>2446966.4303373885</v>
      </c>
      <c r="M49" s="64">
        <f t="shared" si="1"/>
        <v>1534159.6810924867</v>
      </c>
      <c r="O49" s="59">
        <v>193851402.78454834</v>
      </c>
      <c r="P49" s="59">
        <v>49945767.898391522</v>
      </c>
      <c r="Q49" s="59">
        <v>4622920.0383677678</v>
      </c>
      <c r="R49" s="59">
        <v>129589612.90751582</v>
      </c>
      <c r="S49" s="59">
        <v>2736290.481495501</v>
      </c>
      <c r="T49" s="59">
        <v>95338656.362775281</v>
      </c>
      <c r="U49" s="59">
        <v>0</v>
      </c>
      <c r="V49" s="59">
        <v>22565763.24941279</v>
      </c>
      <c r="W49" s="59">
        <v>1719639.6332395158</v>
      </c>
      <c r="X49" s="59">
        <v>1897111.9730560142</v>
      </c>
      <c r="Z49" s="64">
        <f t="shared" si="2"/>
        <v>193851402.78454834</v>
      </c>
      <c r="AA49" s="64">
        <f t="shared" si="3"/>
        <v>211179994.2084229</v>
      </c>
      <c r="AC49" s="64">
        <v>92917890.399873048</v>
      </c>
      <c r="AD49" s="64">
        <v>31565009.626530398</v>
      </c>
      <c r="AE49" s="64">
        <v>2057028.9186571441</v>
      </c>
      <c r="AF49" s="64">
        <v>58832906.680113174</v>
      </c>
      <c r="AG49" s="64">
        <v>726891.18333640648</v>
      </c>
      <c r="AH49" s="64">
        <v>30998563.333333336</v>
      </c>
      <c r="AI49" s="64">
        <v>40630221</v>
      </c>
      <c r="AJ49" s="64">
        <v>7430374.0097962059</v>
      </c>
      <c r="AK49" s="64">
        <v>788442.76499376609</v>
      </c>
      <c r="AL49" s="64">
        <v>1154883.1866000001</v>
      </c>
      <c r="AN49" s="64">
        <f t="shared" si="4"/>
        <v>92917890.399873048</v>
      </c>
      <c r="AO49" s="64">
        <f t="shared" si="5"/>
        <v>101400653.1834271</v>
      </c>
      <c r="AQ49" s="59">
        <v>1239713.5068387608</v>
      </c>
      <c r="AR49" s="59">
        <v>1016963.3348476039</v>
      </c>
      <c r="AS49" s="59">
        <v>0</v>
      </c>
      <c r="AT49" s="59">
        <v>280739.68045934127</v>
      </c>
      <c r="AU49" s="59">
        <v>120161.99999999999</v>
      </c>
      <c r="AV49" s="59">
        <v>2545868</v>
      </c>
      <c r="AW49" s="59"/>
      <c r="AX49" s="59">
        <f t="shared" si="6"/>
        <v>1239713.5068387608</v>
      </c>
      <c r="AY49" s="59">
        <f t="shared" si="6"/>
        <v>1016963.3348476039</v>
      </c>
      <c r="AZ49" s="59"/>
      <c r="BA49" s="59">
        <v>1357055.8898083658</v>
      </c>
      <c r="BB49" s="59">
        <v>907047.49154896953</v>
      </c>
      <c r="BC49" s="59">
        <v>256083.69927721738</v>
      </c>
      <c r="BD49" s="59">
        <v>254382.82176017217</v>
      </c>
      <c r="BE49" s="59">
        <v>7368.8208702230713</v>
      </c>
      <c r="BF49" s="59">
        <v>509726</v>
      </c>
      <c r="BG49" s="59">
        <v>3384334</v>
      </c>
      <c r="BI49" s="59">
        <f t="shared" si="7"/>
        <v>1357055.8898083658</v>
      </c>
      <c r="BJ49" s="59">
        <f t="shared" si="8"/>
        <v>1424882.8334565822</v>
      </c>
    </row>
    <row r="50" spans="1:62" x14ac:dyDescent="0.3">
      <c r="A50" s="83">
        <v>44044</v>
      </c>
      <c r="C50" s="59">
        <v>2227935.080221415</v>
      </c>
      <c r="D50" s="59">
        <v>1385426.5288441691</v>
      </c>
      <c r="E50" s="59">
        <v>306834.31639937533</v>
      </c>
      <c r="F50" s="59">
        <v>27479.917648955743</v>
      </c>
      <c r="G50" s="59">
        <v>1811372.9043646499</v>
      </c>
      <c r="H50" s="59">
        <v>3384180</v>
      </c>
      <c r="J50" s="93">
        <v>27313.016</v>
      </c>
      <c r="K50" s="59"/>
      <c r="L50" s="64">
        <f t="shared" si="0"/>
        <v>2227935.080221415</v>
      </c>
      <c r="M50" s="64">
        <f t="shared" si="1"/>
        <v>1664947.8292435443</v>
      </c>
      <c r="O50" s="59">
        <v>190621784.87465286</v>
      </c>
      <c r="P50" s="59">
        <v>48221274.087080278</v>
      </c>
      <c r="Q50" s="59">
        <v>4445311.3379234122</v>
      </c>
      <c r="R50" s="59">
        <v>124763845.683544</v>
      </c>
      <c r="S50" s="59">
        <v>2657096.9374452941</v>
      </c>
      <c r="T50" s="59">
        <v>97487735.882923856</v>
      </c>
      <c r="U50" s="59">
        <v>0</v>
      </c>
      <c r="V50" s="59">
        <v>23401611.377666779</v>
      </c>
      <c r="W50" s="59">
        <v>1610815.9902477106</v>
      </c>
      <c r="X50" s="59">
        <v>1896293.1038408955</v>
      </c>
      <c r="Z50" s="64">
        <f t="shared" si="2"/>
        <v>190621784.87465286</v>
      </c>
      <c r="AA50" s="64">
        <f t="shared" si="3"/>
        <v>205099955.41390744</v>
      </c>
      <c r="AC50" s="64">
        <v>87325974.646283135</v>
      </c>
      <c r="AD50" s="64">
        <v>30500510.882592987</v>
      </c>
      <c r="AE50" s="64">
        <v>1983594.7435966465</v>
      </c>
      <c r="AF50" s="64">
        <v>55821171.873345941</v>
      </c>
      <c r="AG50" s="64">
        <v>699171.19596335734</v>
      </c>
      <c r="AH50" s="64">
        <v>31667975.333333336</v>
      </c>
      <c r="AI50" s="64">
        <v>40337358</v>
      </c>
      <c r="AJ50" s="64">
        <v>7642526.1229103981</v>
      </c>
      <c r="AK50" s="64">
        <v>876618.47886382404</v>
      </c>
      <c r="AL50" s="64">
        <v>1155243.7683000001</v>
      </c>
      <c r="AN50" s="64">
        <f t="shared" si="4"/>
        <v>87325974.646283135</v>
      </c>
      <c r="AO50" s="64">
        <f t="shared" si="5"/>
        <v>97523593.297273144</v>
      </c>
      <c r="AQ50" s="59">
        <v>1126842.6221563071</v>
      </c>
      <c r="AR50" s="59">
        <v>1220916.3197519185</v>
      </c>
      <c r="AS50" s="59">
        <v>0</v>
      </c>
      <c r="AT50" s="59">
        <v>242703.26822994053</v>
      </c>
      <c r="AU50" s="59">
        <v>117061</v>
      </c>
      <c r="AV50" s="59">
        <v>2776901</v>
      </c>
      <c r="AW50" s="59"/>
      <c r="AX50" s="59">
        <f t="shared" si="6"/>
        <v>1126842.6221563071</v>
      </c>
      <c r="AY50" s="59">
        <f t="shared" si="6"/>
        <v>1220916.3197519185</v>
      </c>
      <c r="AZ50" s="59"/>
      <c r="BA50" s="59">
        <v>1271286.4880258034</v>
      </c>
      <c r="BB50" s="59">
        <v>924771.6689769713</v>
      </c>
      <c r="BC50" s="59">
        <v>276853.6492719521</v>
      </c>
      <c r="BD50" s="59">
        <v>295574.4755763014</v>
      </c>
      <c r="BE50" s="59">
        <v>15406.133776952036</v>
      </c>
      <c r="BF50" s="59">
        <v>495637</v>
      </c>
      <c r="BG50" s="59">
        <v>3108356.6666666665</v>
      </c>
      <c r="BI50" s="59">
        <f t="shared" si="7"/>
        <v>1271286.4880258034</v>
      </c>
      <c r="BJ50" s="59">
        <f t="shared" si="8"/>
        <v>1512605.9276021768</v>
      </c>
    </row>
    <row r="51" spans="1:62" x14ac:dyDescent="0.3">
      <c r="A51" s="83">
        <v>44075</v>
      </c>
      <c r="C51" s="59">
        <v>2671066.020532392</v>
      </c>
      <c r="D51" s="59">
        <v>1848008.7337099703</v>
      </c>
      <c r="E51" s="59">
        <v>330320.97764160932</v>
      </c>
      <c r="F51" s="59">
        <v>30520.678422580091</v>
      </c>
      <c r="G51" s="59">
        <v>1857141.6744601312</v>
      </c>
      <c r="H51" s="59">
        <v>3523680</v>
      </c>
      <c r="J51" s="93">
        <v>29790.423999999999</v>
      </c>
      <c r="K51" s="59"/>
      <c r="L51" s="64">
        <f t="shared" si="0"/>
        <v>2671066.020532392</v>
      </c>
      <c r="M51" s="64">
        <f t="shared" si="1"/>
        <v>2148539.2873515794</v>
      </c>
      <c r="O51" s="59">
        <v>159379962.07070962</v>
      </c>
      <c r="P51" s="59">
        <v>41231738.100401916</v>
      </c>
      <c r="Q51" s="59">
        <v>4019273.8503305116</v>
      </c>
      <c r="R51" s="59">
        <v>109038538.40139405</v>
      </c>
      <c r="S51" s="59">
        <v>2315668.5473746341</v>
      </c>
      <c r="T51" s="59">
        <v>100571328.90417644</v>
      </c>
      <c r="U51" s="59">
        <v>0</v>
      </c>
      <c r="V51" s="59">
        <v>17218346.86118589</v>
      </c>
      <c r="W51" s="59">
        <v>1055871.9989142343</v>
      </c>
      <c r="X51" s="59">
        <v>1895476.4441739742</v>
      </c>
      <c r="Z51" s="64">
        <f t="shared" si="2"/>
        <v>159379962.07070962</v>
      </c>
      <c r="AA51" s="64">
        <f t="shared" si="3"/>
        <v>174879437.75960124</v>
      </c>
      <c r="AC51" s="64">
        <v>73651298.593989164</v>
      </c>
      <c r="AD51" s="64">
        <v>25532374.094369892</v>
      </c>
      <c r="AE51" s="64">
        <v>1752674.1002462311</v>
      </c>
      <c r="AF51" s="64">
        <v>48462309.800328881</v>
      </c>
      <c r="AG51" s="64">
        <v>596194.09649757668</v>
      </c>
      <c r="AH51" s="64">
        <v>31982858.333333336</v>
      </c>
      <c r="AI51" s="64">
        <v>38678018</v>
      </c>
      <c r="AJ51" s="64">
        <v>5656564.7356629875</v>
      </c>
      <c r="AK51" s="64">
        <v>576652.75277258409</v>
      </c>
      <c r="AL51" s="64">
        <v>1155628.4378</v>
      </c>
      <c r="AN51" s="64">
        <f t="shared" si="4"/>
        <v>73651298.593989164</v>
      </c>
      <c r="AO51" s="64">
        <f t="shared" si="5"/>
        <v>82576769.579878151</v>
      </c>
      <c r="AQ51" s="59">
        <v>1460567.0302065872</v>
      </c>
      <c r="AR51" s="59">
        <v>1276457.8769495445</v>
      </c>
      <c r="AS51" s="59">
        <v>0</v>
      </c>
      <c r="AT51" s="59">
        <v>222543.69674143411</v>
      </c>
      <c r="AU51" s="59">
        <v>129644</v>
      </c>
      <c r="AV51" s="59">
        <v>2896118</v>
      </c>
      <c r="AW51" s="59"/>
      <c r="AX51" s="59">
        <f t="shared" si="6"/>
        <v>1460567.0302065872</v>
      </c>
      <c r="AY51" s="59">
        <f t="shared" si="6"/>
        <v>1276457.8769495445</v>
      </c>
      <c r="AZ51" s="59"/>
      <c r="BA51" s="59">
        <v>1311461.6052962879</v>
      </c>
      <c r="BB51" s="59">
        <v>956253.76189090789</v>
      </c>
      <c r="BC51" s="59">
        <v>266209.47508402704</v>
      </c>
      <c r="BD51" s="59">
        <v>473258.07158628863</v>
      </c>
      <c r="BE51" s="59">
        <v>142073.52688412019</v>
      </c>
      <c r="BF51" s="59">
        <v>499738</v>
      </c>
      <c r="BG51" s="59">
        <v>3253509</v>
      </c>
      <c r="BI51" s="59">
        <f t="shared" si="7"/>
        <v>1311461.6052962879</v>
      </c>
      <c r="BJ51" s="59">
        <f t="shared" si="8"/>
        <v>1837794.8354453437</v>
      </c>
    </row>
    <row r="52" spans="1:62" x14ac:dyDescent="0.3">
      <c r="A52" s="83">
        <v>44105</v>
      </c>
      <c r="C52" s="59">
        <v>7262443.4816542882</v>
      </c>
      <c r="D52" s="59">
        <v>4161328.5463444889</v>
      </c>
      <c r="E52" s="59">
        <v>553100.13626897568</v>
      </c>
      <c r="F52" s="59">
        <v>65648.200759716739</v>
      </c>
      <c r="G52" s="59">
        <v>2002842.4569327459</v>
      </c>
      <c r="H52" s="59">
        <v>3605456</v>
      </c>
      <c r="J52" s="93">
        <v>36487.103999999999</v>
      </c>
      <c r="K52" s="59"/>
      <c r="L52" s="64">
        <f t="shared" si="0"/>
        <v>7262443.4816542882</v>
      </c>
      <c r="M52" s="64">
        <f t="shared" si="1"/>
        <v>4677941.5786134638</v>
      </c>
      <c r="O52" s="59">
        <v>184382665.68152347</v>
      </c>
      <c r="P52" s="59">
        <v>45886863.905917667</v>
      </c>
      <c r="Q52" s="59">
        <v>4768876.8155832011</v>
      </c>
      <c r="R52" s="59">
        <v>120308975.97241035</v>
      </c>
      <c r="S52" s="59">
        <v>2611312.0535839628</v>
      </c>
      <c r="T52" s="59">
        <v>96381343.035767972</v>
      </c>
      <c r="U52" s="59">
        <v>0</v>
      </c>
      <c r="V52" s="59">
        <v>10911407.168895943</v>
      </c>
      <c r="W52" s="59">
        <v>626674.40410522616</v>
      </c>
      <c r="X52" s="59">
        <v>1894686.2044496187</v>
      </c>
      <c r="Z52" s="64">
        <f t="shared" si="2"/>
        <v>184382665.68152347</v>
      </c>
      <c r="AA52" s="64">
        <f t="shared" si="3"/>
        <v>185114110.32049632</v>
      </c>
      <c r="AC52" s="64">
        <v>88814725.956008047</v>
      </c>
      <c r="AD52" s="64">
        <v>27650295.628569908</v>
      </c>
      <c r="AE52" s="64">
        <v>2084302.2832059606</v>
      </c>
      <c r="AF52" s="64">
        <v>52938521.303596735</v>
      </c>
      <c r="AG52" s="64">
        <v>655187.62909346388</v>
      </c>
      <c r="AH52" s="64">
        <v>30891456.333333336</v>
      </c>
      <c r="AI52" s="64">
        <v>39871157</v>
      </c>
      <c r="AJ52" s="64">
        <v>4295699.4788468434</v>
      </c>
      <c r="AK52" s="64">
        <v>307742.57776877726</v>
      </c>
      <c r="AL52" s="64">
        <v>1156072.1510999999</v>
      </c>
      <c r="AN52" s="64">
        <f t="shared" si="4"/>
        <v>88814725.956008047</v>
      </c>
      <c r="AO52" s="64">
        <f t="shared" si="5"/>
        <v>87931748.901081696</v>
      </c>
      <c r="AQ52" s="59">
        <v>3817066.405401594</v>
      </c>
      <c r="AR52" s="59">
        <v>2276007.2539477851</v>
      </c>
      <c r="AS52" s="59">
        <v>0</v>
      </c>
      <c r="AT52" s="59">
        <v>223489.65221544384</v>
      </c>
      <c r="AU52" s="59">
        <v>123722</v>
      </c>
      <c r="AV52" s="59">
        <v>3121676</v>
      </c>
      <c r="AW52" s="59"/>
      <c r="AX52" s="59">
        <f t="shared" si="6"/>
        <v>3817066.405401594</v>
      </c>
      <c r="AY52" s="59">
        <f t="shared" si="6"/>
        <v>2276007.2539477851</v>
      </c>
      <c r="AZ52" s="59"/>
      <c r="BA52" s="59">
        <v>3026506.7832104503</v>
      </c>
      <c r="BB52" s="59">
        <v>1825445.5285136234</v>
      </c>
      <c r="BC52" s="59">
        <v>430746.38358824205</v>
      </c>
      <c r="BD52" s="59">
        <v>514167.48082847468</v>
      </c>
      <c r="BE52" s="59">
        <v>72635.242486963121</v>
      </c>
      <c r="BF52" s="59">
        <v>484958</v>
      </c>
      <c r="BG52" s="59">
        <v>3218910.3333333335</v>
      </c>
      <c r="BI52" s="59">
        <f t="shared" si="7"/>
        <v>3026506.7832104503</v>
      </c>
      <c r="BJ52" s="59">
        <f t="shared" si="8"/>
        <v>2842994.6354173031</v>
      </c>
    </row>
    <row r="53" spans="1:62" x14ac:dyDescent="0.3">
      <c r="A53" s="83">
        <v>44136</v>
      </c>
      <c r="C53" s="59">
        <v>15782948.574093617</v>
      </c>
      <c r="D53" s="59">
        <v>7027634.033869924</v>
      </c>
      <c r="E53" s="59">
        <v>666327.48085248529</v>
      </c>
      <c r="F53" s="59">
        <v>111457.83576409603</v>
      </c>
      <c r="G53" s="59">
        <v>2677574.9044459425</v>
      </c>
      <c r="H53" s="59">
        <v>4125807</v>
      </c>
      <c r="J53" s="93">
        <v>47656.267999999996</v>
      </c>
      <c r="K53" s="59"/>
      <c r="L53" s="64">
        <f t="shared" si="0"/>
        <v>15782948.574093617</v>
      </c>
      <c r="M53" s="64">
        <f t="shared" si="1"/>
        <v>7646305.2467224095</v>
      </c>
      <c r="O53" s="59">
        <v>229054627.84047428</v>
      </c>
      <c r="P53" s="59">
        <v>48564629.032582588</v>
      </c>
      <c r="Q53" s="59">
        <v>5664824.1649663355</v>
      </c>
      <c r="R53" s="59">
        <v>118653640.79453608</v>
      </c>
      <c r="S53" s="59">
        <v>2809225.7174072075</v>
      </c>
      <c r="T53" s="59">
        <v>98695478.373811543</v>
      </c>
      <c r="U53" s="59">
        <v>0</v>
      </c>
      <c r="V53" s="59">
        <v>4903490.8654238805</v>
      </c>
      <c r="W53" s="59">
        <v>315789.44692376791</v>
      </c>
      <c r="X53" s="59">
        <v>1893898.3796321866</v>
      </c>
      <c r="Z53" s="64">
        <f t="shared" si="2"/>
        <v>229054627.84047428</v>
      </c>
      <c r="AA53" s="64">
        <f t="shared" si="3"/>
        <v>180911600.02183986</v>
      </c>
      <c r="AC53" s="64">
        <v>116045828.74844784</v>
      </c>
      <c r="AD53" s="64">
        <v>30498724.725670859</v>
      </c>
      <c r="AE53" s="64">
        <v>2654077.1980235414</v>
      </c>
      <c r="AF53" s="64">
        <v>53786301.008572713</v>
      </c>
      <c r="AG53" s="64">
        <v>754272.06360458466</v>
      </c>
      <c r="AH53" s="64">
        <v>31881871.333333336</v>
      </c>
      <c r="AI53" s="64">
        <v>37065584</v>
      </c>
      <c r="AJ53" s="64">
        <v>3097852.9882755224</v>
      </c>
      <c r="AK53" s="64">
        <v>178060.88247262829</v>
      </c>
      <c r="AL53" s="64">
        <v>1156480.9994000001</v>
      </c>
      <c r="AN53" s="64">
        <f t="shared" si="4"/>
        <v>116045828.74844784</v>
      </c>
      <c r="AO53" s="64">
        <f t="shared" si="5"/>
        <v>90969288.866619855</v>
      </c>
      <c r="AQ53" s="59">
        <v>7915607.4992671944</v>
      </c>
      <c r="AR53" s="59">
        <v>3348614.1708756792</v>
      </c>
      <c r="AS53" s="59">
        <v>0</v>
      </c>
      <c r="AT53" s="59">
        <v>279490.15348383528</v>
      </c>
      <c r="AU53" s="59">
        <v>146231</v>
      </c>
      <c r="AV53" s="59">
        <v>3030249</v>
      </c>
      <c r="AW53" s="59"/>
      <c r="AX53" s="59">
        <f t="shared" si="6"/>
        <v>7915607.4992671944</v>
      </c>
      <c r="AY53" s="59">
        <f t="shared" si="6"/>
        <v>3348614.1708756792</v>
      </c>
      <c r="AZ53" s="59"/>
      <c r="BA53" s="59">
        <v>6208102.0822290191</v>
      </c>
      <c r="BB53" s="59">
        <v>3211792.1968312664</v>
      </c>
      <c r="BC53" s="59">
        <v>516832.69450369512</v>
      </c>
      <c r="BD53" s="59">
        <v>521565.20274802903</v>
      </c>
      <c r="BE53" s="59">
        <v>13875.20436832618</v>
      </c>
      <c r="BF53" s="59">
        <v>507728</v>
      </c>
      <c r="BG53" s="59">
        <v>3582306</v>
      </c>
      <c r="BI53" s="59">
        <f t="shared" si="7"/>
        <v>6208102.0822290191</v>
      </c>
      <c r="BJ53" s="59">
        <f t="shared" si="8"/>
        <v>4264065.2984513165</v>
      </c>
    </row>
    <row r="54" spans="1:62" x14ac:dyDescent="0.3">
      <c r="A54" s="83">
        <v>44166</v>
      </c>
      <c r="C54" s="59">
        <v>22173439.717426609</v>
      </c>
      <c r="D54" s="59">
        <v>8431614.3758728132</v>
      </c>
      <c r="E54" s="59">
        <v>602307.73433952825</v>
      </c>
      <c r="F54" s="59">
        <v>130406.41207312015</v>
      </c>
      <c r="G54" s="59">
        <v>3003893.8339817086</v>
      </c>
      <c r="H54" s="59">
        <v>4497165</v>
      </c>
      <c r="J54" s="93">
        <v>74705.248000000007</v>
      </c>
      <c r="K54" s="59"/>
      <c r="L54" s="64">
        <f t="shared" si="0"/>
        <v>22173439.717426609</v>
      </c>
      <c r="M54" s="64">
        <f t="shared" si="1"/>
        <v>8959216.8622123413</v>
      </c>
      <c r="O54" s="59">
        <v>294847019.74590337</v>
      </c>
      <c r="P54" s="59">
        <v>55055406.242045149</v>
      </c>
      <c r="Q54" s="59">
        <v>7157981.3513717065</v>
      </c>
      <c r="R54" s="59">
        <v>126275965.97993192</v>
      </c>
      <c r="S54" s="59">
        <v>3323135.94949196</v>
      </c>
      <c r="T54" s="59">
        <v>95084072.574800789</v>
      </c>
      <c r="U54" s="59">
        <v>0</v>
      </c>
      <c r="V54" s="59">
        <v>4109073.0722332583</v>
      </c>
      <c r="W54" s="59">
        <v>281344.4813094734</v>
      </c>
      <c r="X54" s="59">
        <v>1893104.8116797269</v>
      </c>
      <c r="Z54" s="64">
        <f t="shared" si="2"/>
        <v>294847019.74590337</v>
      </c>
      <c r="AA54" s="64">
        <f t="shared" si="3"/>
        <v>196202907.07638344</v>
      </c>
      <c r="AC54" s="64">
        <v>148031463.47814211</v>
      </c>
      <c r="AD54" s="64">
        <v>35795374.193281405</v>
      </c>
      <c r="AE54" s="64">
        <v>3412744.9298734395</v>
      </c>
      <c r="AF54" s="64">
        <v>58342362.454564631</v>
      </c>
      <c r="AG54" s="64">
        <v>929926.75721717207</v>
      </c>
      <c r="AH54" s="64">
        <v>31042562.333333336</v>
      </c>
      <c r="AI54" s="64">
        <v>38329414</v>
      </c>
      <c r="AJ54" s="64">
        <v>3164049.745845424</v>
      </c>
      <c r="AK54" s="64">
        <v>192551.11526726952</v>
      </c>
      <c r="AL54" s="64">
        <v>1156872</v>
      </c>
      <c r="AN54" s="64">
        <f t="shared" si="4"/>
        <v>148031463.47814211</v>
      </c>
      <c r="AO54" s="64">
        <f t="shared" si="5"/>
        <v>101837009.19604935</v>
      </c>
      <c r="AQ54" s="59">
        <v>10575548.858751779</v>
      </c>
      <c r="AR54" s="59">
        <v>3746871.1792127462</v>
      </c>
      <c r="AS54" s="59">
        <v>0</v>
      </c>
      <c r="AT54" s="59">
        <v>234450.11441662157</v>
      </c>
      <c r="AU54" s="59">
        <v>137815</v>
      </c>
      <c r="AV54" s="59">
        <v>4096854</v>
      </c>
      <c r="AW54" s="59"/>
      <c r="AX54" s="59">
        <f t="shared" si="6"/>
        <v>10575548.858751779</v>
      </c>
      <c r="AY54" s="59">
        <f t="shared" si="6"/>
        <v>3746871.1792127462</v>
      </c>
      <c r="AZ54" s="59"/>
      <c r="BA54" s="59">
        <v>8750484.8415008746</v>
      </c>
      <c r="BB54" s="59">
        <v>4472464.0860259794</v>
      </c>
      <c r="BC54" s="59">
        <v>497454.50071861624</v>
      </c>
      <c r="BD54" s="59">
        <v>446948.7937979126</v>
      </c>
      <c r="BE54" s="59">
        <v>3394.1827973690647</v>
      </c>
      <c r="BF54" s="59">
        <v>473610</v>
      </c>
      <c r="BG54" s="59">
        <v>3613192</v>
      </c>
      <c r="BI54" s="59">
        <f t="shared" si="7"/>
        <v>8750484.8415008746</v>
      </c>
      <c r="BJ54" s="59">
        <f t="shared" si="8"/>
        <v>5420261.5633398769</v>
      </c>
    </row>
    <row r="55" spans="1:62" x14ac:dyDescent="0.3">
      <c r="A55" s="83">
        <v>44197</v>
      </c>
      <c r="C55" s="59">
        <v>22203547.468363356</v>
      </c>
      <c r="D55" s="59">
        <v>8185302.7255748091</v>
      </c>
      <c r="E55" s="59">
        <v>600259.57317354763</v>
      </c>
      <c r="F55" s="59">
        <v>129829.16896306074</v>
      </c>
      <c r="G55" s="59">
        <v>3446056.7192486804</v>
      </c>
      <c r="H55" s="59">
        <v>4847421</v>
      </c>
      <c r="J55" s="93">
        <v>81674</v>
      </c>
      <c r="L55" s="64">
        <f t="shared" si="0"/>
        <v>22203547.468363356</v>
      </c>
      <c r="M55" s="64">
        <f t="shared" si="1"/>
        <v>8703888.2987483572</v>
      </c>
      <c r="O55" s="59">
        <v>291617717.61681259</v>
      </c>
      <c r="P55" s="59">
        <v>53946433.076718017</v>
      </c>
      <c r="Q55" s="59">
        <v>7203134.9420752861</v>
      </c>
      <c r="R55" s="59">
        <v>120550597.65119375</v>
      </c>
      <c r="S55" s="59">
        <v>3353911.9246854843</v>
      </c>
      <c r="T55" s="59">
        <v>95997326.814000711</v>
      </c>
      <c r="U55" s="59">
        <v>0</v>
      </c>
      <c r="V55" s="59">
        <v>4020058.5629474991</v>
      </c>
      <c r="W55" s="59">
        <v>291642.1240344941</v>
      </c>
      <c r="X55" s="59">
        <v>1892291.7538090856</v>
      </c>
      <c r="Z55" s="64">
        <f t="shared" si="2"/>
        <v>291617717.61681259</v>
      </c>
      <c r="AA55" s="64">
        <f t="shared" si="3"/>
        <v>189365778.28165454</v>
      </c>
      <c r="AC55" s="64">
        <v>140389291.1277349</v>
      </c>
      <c r="AD55" s="64">
        <v>34529333.792723447</v>
      </c>
      <c r="AE55" s="64">
        <v>3321036.656144009</v>
      </c>
      <c r="AF55" s="64">
        <v>55659949.601584554</v>
      </c>
      <c r="AG55" s="64">
        <v>904910.78871716745</v>
      </c>
      <c r="AH55" s="64">
        <v>31721142.333333336</v>
      </c>
      <c r="AI55" s="64">
        <v>39601981</v>
      </c>
      <c r="AJ55" s="64">
        <v>3102619.4922222085</v>
      </c>
      <c r="AK55" s="64">
        <v>194373.4018263953</v>
      </c>
      <c r="AL55" s="64">
        <v>1157314</v>
      </c>
      <c r="AN55" s="64">
        <f t="shared" si="4"/>
        <v>140389291.1277349</v>
      </c>
      <c r="AO55" s="64">
        <f t="shared" si="5"/>
        <v>97712223.733217776</v>
      </c>
      <c r="AQ55" s="59">
        <v>10080174.280689491</v>
      </c>
      <c r="AR55" s="59">
        <v>3644358.479082332</v>
      </c>
      <c r="AS55" s="59">
        <v>0</v>
      </c>
      <c r="AT55" s="59">
        <v>284614.13364418608</v>
      </c>
      <c r="AU55" s="59">
        <v>142836</v>
      </c>
      <c r="AV55" s="59">
        <v>4406805</v>
      </c>
      <c r="AW55" s="59"/>
      <c r="AX55" s="59">
        <f t="shared" ref="AX55:AY66" si="9">AQ55</f>
        <v>10080174.280689491</v>
      </c>
      <c r="AY55" s="59">
        <f t="shared" si="9"/>
        <v>3644358.479082332</v>
      </c>
      <c r="AZ55" s="59"/>
      <c r="BA55" s="59">
        <v>8884121.7411637791</v>
      </c>
      <c r="BB55" s="59">
        <v>4546966.9186547352</v>
      </c>
      <c r="BC55" s="59">
        <v>439211.13434749702</v>
      </c>
      <c r="BD55" s="59">
        <v>405016.18394672056</v>
      </c>
      <c r="BE55" s="59">
        <v>3688.972947028471</v>
      </c>
      <c r="BF55" s="59">
        <v>483547</v>
      </c>
      <c r="BG55" s="59">
        <v>3723477</v>
      </c>
      <c r="BI55" s="59">
        <f t="shared" si="7"/>
        <v>8884121.7411637791</v>
      </c>
      <c r="BJ55" s="59">
        <f t="shared" si="8"/>
        <v>5394883.2098959815</v>
      </c>
    </row>
    <row r="56" spans="1:62" x14ac:dyDescent="0.3">
      <c r="A56" s="83">
        <v>44228</v>
      </c>
      <c r="C56" s="59">
        <v>18159043.67942144</v>
      </c>
      <c r="D56" s="59">
        <v>6718544.3243065402</v>
      </c>
      <c r="E56" s="59">
        <v>562549.23424095195</v>
      </c>
      <c r="F56" s="59">
        <v>119873.96709719847</v>
      </c>
      <c r="G56" s="59">
        <v>3736330.7671115072</v>
      </c>
      <c r="H56" s="59">
        <v>4967227</v>
      </c>
      <c r="J56" s="93">
        <v>68846.467999999993</v>
      </c>
      <c r="L56" s="64">
        <f t="shared" si="0"/>
        <v>18159043.67942144</v>
      </c>
      <c r="M56" s="64">
        <f t="shared" si="1"/>
        <v>7212247.0905474918</v>
      </c>
      <c r="O56" s="59">
        <v>236791118.82163048</v>
      </c>
      <c r="P56" s="59">
        <v>46089692.918306828</v>
      </c>
      <c r="Q56" s="59">
        <v>5988899.0933869556</v>
      </c>
      <c r="R56" s="59">
        <v>104511363.26363</v>
      </c>
      <c r="S56" s="59">
        <v>2843094.2701596804</v>
      </c>
      <c r="T56" s="59">
        <v>97771079.721910939</v>
      </c>
      <c r="U56" s="59">
        <v>0</v>
      </c>
      <c r="V56" s="59">
        <v>3519136.3106386</v>
      </c>
      <c r="W56" s="59">
        <v>245267.76223699524</v>
      </c>
      <c r="X56" s="59">
        <v>1891481.4668384888</v>
      </c>
      <c r="Z56" s="64">
        <f t="shared" si="2"/>
        <v>236791118.82163048</v>
      </c>
      <c r="AA56" s="64">
        <f t="shared" si="3"/>
        <v>163197453.61835906</v>
      </c>
      <c r="AC56" s="64">
        <v>111987458.47932537</v>
      </c>
      <c r="AD56" s="64">
        <v>28671047.935935967</v>
      </c>
      <c r="AE56" s="64">
        <v>2681508.2941913242</v>
      </c>
      <c r="AF56" s="64">
        <v>47273649.81842377</v>
      </c>
      <c r="AG56" s="64">
        <v>745026.15389858629</v>
      </c>
      <c r="AH56" s="64">
        <v>32053780.333333336</v>
      </c>
      <c r="AI56" s="64">
        <v>36995575</v>
      </c>
      <c r="AJ56" s="64">
        <v>2693363.4032972241</v>
      </c>
      <c r="AK56" s="64">
        <v>156674.59732168846</v>
      </c>
      <c r="AL56" s="64">
        <v>1157765</v>
      </c>
      <c r="AN56" s="64">
        <f t="shared" si="4"/>
        <v>111987458.47932537</v>
      </c>
      <c r="AO56" s="64">
        <f t="shared" si="5"/>
        <v>82221270.203068554</v>
      </c>
      <c r="AQ56" s="59">
        <v>8017120.4455376742</v>
      </c>
      <c r="AR56" s="59">
        <v>2821643.0361279966</v>
      </c>
      <c r="AS56" s="59">
        <v>0</v>
      </c>
      <c r="AT56" s="59">
        <v>273792.50263995759</v>
      </c>
      <c r="AU56" s="59">
        <v>140859</v>
      </c>
      <c r="AV56" s="59">
        <v>3822583</v>
      </c>
      <c r="AW56" s="59"/>
      <c r="AX56" s="59">
        <f t="shared" si="9"/>
        <v>8017120.4455376742</v>
      </c>
      <c r="AY56" s="59">
        <f t="shared" si="9"/>
        <v>2821643.0361279966</v>
      </c>
      <c r="BA56" s="59">
        <v>6680171.9085487649</v>
      </c>
      <c r="BB56" s="59">
        <v>3422895.9867326622</v>
      </c>
      <c r="BC56" s="59">
        <v>360231.04006282048</v>
      </c>
      <c r="BD56" s="59">
        <v>343786.88100212871</v>
      </c>
      <c r="BE56" s="59">
        <v>1.1291473949809603</v>
      </c>
      <c r="BF56" s="59">
        <v>535660</v>
      </c>
      <c r="BG56" s="59">
        <v>4045456</v>
      </c>
      <c r="BI56" s="59">
        <f t="shared" si="7"/>
        <v>6680171.9085487649</v>
      </c>
      <c r="BJ56" s="59">
        <f t="shared" si="8"/>
        <v>4126915.0369450063</v>
      </c>
    </row>
    <row r="57" spans="1:62" x14ac:dyDescent="0.3">
      <c r="A57" s="83">
        <v>44256</v>
      </c>
      <c r="C57" s="59">
        <v>15470719.131092114</v>
      </c>
      <c r="D57" s="59">
        <v>5703917.4393960973</v>
      </c>
      <c r="E57" s="59">
        <v>469444.77687439509</v>
      </c>
      <c r="F57" s="59">
        <v>107110.63700805046</v>
      </c>
      <c r="G57" s="59">
        <v>3132532.5937104602</v>
      </c>
      <c r="H57" s="59">
        <v>4462189</v>
      </c>
      <c r="J57" s="93">
        <v>57609.870999999999</v>
      </c>
      <c r="L57" s="64">
        <f t="shared" si="0"/>
        <v>15470719.131092114</v>
      </c>
      <c r="M57" s="64">
        <f t="shared" si="1"/>
        <v>6115752.3452704921</v>
      </c>
      <c r="O57" s="59">
        <v>235280546.10831779</v>
      </c>
      <c r="P57" s="59">
        <v>48143415.167009056</v>
      </c>
      <c r="Q57" s="59">
        <v>5937683.7221982684</v>
      </c>
      <c r="R57" s="59">
        <v>111681533.27262555</v>
      </c>
      <c r="S57" s="59">
        <v>2897347.910777308</v>
      </c>
      <c r="T57" s="59">
        <v>92361229.651568487</v>
      </c>
      <c r="U57" s="59">
        <v>0</v>
      </c>
      <c r="V57" s="59">
        <v>4186651.6253936714</v>
      </c>
      <c r="W57" s="59">
        <v>265150.89464031433</v>
      </c>
      <c r="X57" s="59">
        <v>1890684.7354915012</v>
      </c>
      <c r="Z57" s="64">
        <f t="shared" si="2"/>
        <v>235280546.10831779</v>
      </c>
      <c r="AA57" s="64">
        <f t="shared" si="3"/>
        <v>173111782.59264416</v>
      </c>
      <c r="AC57" s="64">
        <v>113886735.01694345</v>
      </c>
      <c r="AD57" s="64">
        <v>30219827.450323515</v>
      </c>
      <c r="AE57" s="64">
        <v>2646137.3881313447</v>
      </c>
      <c r="AF57" s="64">
        <v>51767125.542497762</v>
      </c>
      <c r="AG57" s="64">
        <v>774092.86329348362</v>
      </c>
      <c r="AH57" s="64">
        <v>30616672.333333336</v>
      </c>
      <c r="AI57" s="64">
        <v>39510920</v>
      </c>
      <c r="AJ57" s="64">
        <v>3013661.9608995486</v>
      </c>
      <c r="AK57" s="64">
        <v>157742.80027349805</v>
      </c>
      <c r="AL57" s="64">
        <v>1158191</v>
      </c>
      <c r="AN57" s="64">
        <f t="shared" si="4"/>
        <v>113886735.01694345</v>
      </c>
      <c r="AO57" s="64">
        <f t="shared" si="5"/>
        <v>88578588.00541915</v>
      </c>
      <c r="AQ57" s="59">
        <v>7139920.3767324258</v>
      </c>
      <c r="AR57" s="59">
        <v>2416208.7471154826</v>
      </c>
      <c r="AS57" s="59">
        <v>0</v>
      </c>
      <c r="AT57" s="59">
        <v>227182.89799359418</v>
      </c>
      <c r="AU57" s="59">
        <v>131948</v>
      </c>
      <c r="AV57" s="59">
        <v>4070802</v>
      </c>
      <c r="AW57" s="59"/>
      <c r="AX57" s="59">
        <f t="shared" si="9"/>
        <v>7139920.3767324258</v>
      </c>
      <c r="AY57" s="59">
        <f t="shared" si="9"/>
        <v>2416208.7471154826</v>
      </c>
      <c r="BA57" s="59">
        <v>6015924.448540519</v>
      </c>
      <c r="BB57" s="59">
        <v>3042939.992744985</v>
      </c>
      <c r="BC57" s="59">
        <v>375901.00675101351</v>
      </c>
      <c r="BD57" s="59">
        <v>329376.39461336297</v>
      </c>
      <c r="BE57" s="59">
        <v>38.079445703383925</v>
      </c>
      <c r="BF57" s="59">
        <v>534833</v>
      </c>
      <c r="BG57" s="59">
        <v>3771994</v>
      </c>
      <c r="BI57" s="59">
        <f t="shared" si="7"/>
        <v>6015924.448540519</v>
      </c>
      <c r="BJ57" s="59">
        <f t="shared" si="8"/>
        <v>3748255.4735550648</v>
      </c>
    </row>
    <row r="58" spans="1:62" x14ac:dyDescent="0.3">
      <c r="A58" s="83">
        <v>44287</v>
      </c>
      <c r="C58" s="59">
        <v>9329946.5507643465</v>
      </c>
      <c r="D58" s="59">
        <v>3573199.3103307746</v>
      </c>
      <c r="E58" s="59">
        <v>349896.46203405736</v>
      </c>
      <c r="F58" s="59">
        <v>75825.083899283243</v>
      </c>
      <c r="G58" s="59">
        <v>3143326.7885702904</v>
      </c>
      <c r="H58" s="59">
        <v>4490406</v>
      </c>
      <c r="J58" s="93">
        <v>49630.597999999998</v>
      </c>
      <c r="L58" s="64">
        <f t="shared" si="0"/>
        <v>9329946.5507643465</v>
      </c>
      <c r="M58" s="64">
        <f t="shared" si="1"/>
        <v>3873465.1743648322</v>
      </c>
      <c r="O58" s="59">
        <v>189703883.52815831</v>
      </c>
      <c r="P58" s="59">
        <v>41968263.284035563</v>
      </c>
      <c r="Q58" s="59">
        <v>4831008.7941923235</v>
      </c>
      <c r="R58" s="59">
        <v>102031937.31522101</v>
      </c>
      <c r="S58" s="59">
        <v>2470877.9974593213</v>
      </c>
      <c r="T58" s="59">
        <v>97809819.228169948</v>
      </c>
      <c r="U58" s="59">
        <v>0</v>
      </c>
      <c r="V58" s="59">
        <v>5900705.0466358904</v>
      </c>
      <c r="W58" s="59">
        <v>443477.69943694677</v>
      </c>
      <c r="X58" s="59">
        <v>1889899.0049060893</v>
      </c>
      <c r="Z58" s="64">
        <f t="shared" si="2"/>
        <v>189703883.52815831</v>
      </c>
      <c r="AA58" s="64">
        <f t="shared" si="3"/>
        <v>157646270.13698104</v>
      </c>
      <c r="AC58" s="64">
        <v>93387090.772810906</v>
      </c>
      <c r="AD58" s="64">
        <v>26465635.33751725</v>
      </c>
      <c r="AE58" s="64">
        <v>2162157.9071752168</v>
      </c>
      <c r="AF58" s="64">
        <v>47450020.536912501</v>
      </c>
      <c r="AG58" s="64">
        <v>646114.69929657574</v>
      </c>
      <c r="AH58" s="64">
        <v>32140726.333333336</v>
      </c>
      <c r="AI58" s="64">
        <v>37621076</v>
      </c>
      <c r="AJ58" s="64">
        <v>3015541.5126534915</v>
      </c>
      <c r="AK58" s="64">
        <v>140932.77664329272</v>
      </c>
      <c r="AL58" s="64">
        <v>1158630</v>
      </c>
      <c r="AN58" s="64">
        <f t="shared" si="4"/>
        <v>93387090.772810906</v>
      </c>
      <c r="AO58" s="64">
        <f t="shared" si="5"/>
        <v>79880402.77019833</v>
      </c>
      <c r="AQ58" s="59">
        <v>4458086.8113974184</v>
      </c>
      <c r="AR58" s="59">
        <v>1449567.8332989998</v>
      </c>
      <c r="AS58" s="59">
        <v>0</v>
      </c>
      <c r="AT58" s="59">
        <v>248093.38551983191</v>
      </c>
      <c r="AU58" s="59">
        <v>144422</v>
      </c>
      <c r="AV58" s="59">
        <v>3467053</v>
      </c>
      <c r="AW58" s="59"/>
      <c r="AX58" s="59">
        <f t="shared" si="9"/>
        <v>4458086.8113974184</v>
      </c>
      <c r="AY58" s="59">
        <f t="shared" si="9"/>
        <v>1449567.8332989998</v>
      </c>
      <c r="BA58" s="59">
        <v>4225496.3796112686</v>
      </c>
      <c r="BB58" s="59">
        <v>2114971.8581387568</v>
      </c>
      <c r="BC58" s="59">
        <v>296415.86758162425</v>
      </c>
      <c r="BD58" s="59">
        <v>278952.32662073302</v>
      </c>
      <c r="BE58" s="59">
        <v>445.44038902444538</v>
      </c>
      <c r="BF58" s="59">
        <v>558791</v>
      </c>
      <c r="BG58" s="59">
        <v>3879765</v>
      </c>
      <c r="BI58" s="59">
        <f t="shared" si="7"/>
        <v>4225496.3796112686</v>
      </c>
      <c r="BJ58" s="59">
        <f t="shared" si="8"/>
        <v>2690785.4927301384</v>
      </c>
    </row>
    <row r="59" spans="1:62" x14ac:dyDescent="0.3">
      <c r="A59" s="83">
        <v>44317</v>
      </c>
      <c r="C59" s="59">
        <v>5230575.6423945604</v>
      </c>
      <c r="D59" s="59">
        <v>2135847.9636205733</v>
      </c>
      <c r="E59" s="59">
        <v>272634.52617188916</v>
      </c>
      <c r="F59" s="59">
        <v>57233.020655469001</v>
      </c>
      <c r="G59" s="59">
        <v>2640957.3003596198</v>
      </c>
      <c r="H59" s="59">
        <v>4073603</v>
      </c>
      <c r="J59" s="93">
        <v>46983.592000000004</v>
      </c>
      <c r="L59" s="64">
        <f t="shared" si="0"/>
        <v>5230575.6423945604</v>
      </c>
      <c r="M59" s="64">
        <f t="shared" si="1"/>
        <v>2361498.8977924623</v>
      </c>
      <c r="O59" s="59">
        <v>174173066.72689527</v>
      </c>
      <c r="P59" s="59">
        <v>41998646.630902573</v>
      </c>
      <c r="Q59" s="59">
        <v>4488418.5319984928</v>
      </c>
      <c r="R59" s="59">
        <v>107755347.6317378</v>
      </c>
      <c r="S59" s="59">
        <v>2426457.563320437</v>
      </c>
      <c r="T59" s="59">
        <v>95101609.457090005</v>
      </c>
      <c r="U59" s="59">
        <v>0</v>
      </c>
      <c r="V59" s="59">
        <v>10921323.99367265</v>
      </c>
      <c r="W59" s="59">
        <v>751195.72007378482</v>
      </c>
      <c r="X59" s="59">
        <v>1889107.9521900143</v>
      </c>
      <c r="Z59" s="64">
        <f t="shared" si="2"/>
        <v>174173066.72689527</v>
      </c>
      <c r="AA59" s="64">
        <f t="shared" si="3"/>
        <v>168341390.07170573</v>
      </c>
      <c r="AC59" s="64">
        <v>85104166.645980909</v>
      </c>
      <c r="AD59" s="64">
        <v>26305569.233214267</v>
      </c>
      <c r="AE59" s="64">
        <v>1960681.162826112</v>
      </c>
      <c r="AF59" s="64">
        <v>49293888.802115336</v>
      </c>
      <c r="AG59" s="64">
        <v>630661.23126468062</v>
      </c>
      <c r="AH59" s="64">
        <v>31030931.333333336</v>
      </c>
      <c r="AI59" s="64">
        <v>39382282</v>
      </c>
      <c r="AJ59" s="64">
        <v>3856040.8383981576</v>
      </c>
      <c r="AK59" s="64">
        <v>248914.49858641368</v>
      </c>
      <c r="AL59" s="64">
        <v>1159084</v>
      </c>
      <c r="AN59" s="64">
        <f t="shared" si="4"/>
        <v>85104166.645980909</v>
      </c>
      <c r="AO59" s="64">
        <f t="shared" si="5"/>
        <v>82295755.766404971</v>
      </c>
      <c r="AQ59" s="59">
        <v>2559795.8936469094</v>
      </c>
      <c r="AR59" s="59">
        <v>922276.61120863387</v>
      </c>
      <c r="AS59" s="59">
        <v>0</v>
      </c>
      <c r="AT59" s="59">
        <v>287573.65478708246</v>
      </c>
      <c r="AU59" s="59">
        <v>133109</v>
      </c>
      <c r="AV59" s="59">
        <v>2981573</v>
      </c>
      <c r="AW59" s="59"/>
      <c r="AX59" s="59">
        <f t="shared" si="9"/>
        <v>2559795.8936469094</v>
      </c>
      <c r="AY59" s="59">
        <f t="shared" si="9"/>
        <v>922276.61120863387</v>
      </c>
      <c r="BA59" s="59">
        <v>2587021.5334913931</v>
      </c>
      <c r="BB59" s="59">
        <v>1351513.3133562342</v>
      </c>
      <c r="BC59" s="59">
        <v>244643.86710880106</v>
      </c>
      <c r="BD59" s="59">
        <v>227900.03839615855</v>
      </c>
      <c r="BE59" s="59">
        <v>779.4850780154909</v>
      </c>
      <c r="BF59" s="59">
        <v>541799</v>
      </c>
      <c r="BG59" s="59">
        <v>3660817</v>
      </c>
      <c r="BI59" s="59">
        <f t="shared" si="7"/>
        <v>2587021.5334913931</v>
      </c>
      <c r="BJ59" s="59">
        <f t="shared" si="8"/>
        <v>1824836.7039392095</v>
      </c>
    </row>
    <row r="60" spans="1:62" x14ac:dyDescent="0.3">
      <c r="A60" s="83">
        <v>44348</v>
      </c>
      <c r="C60" s="59">
        <v>3077999.6473916438</v>
      </c>
      <c r="D60" s="59">
        <v>1437456.6273768214</v>
      </c>
      <c r="E60" s="59">
        <v>251077.17392186011</v>
      </c>
      <c r="F60" s="59">
        <v>43764.089615115459</v>
      </c>
      <c r="G60" s="59">
        <v>2256387.2597362888</v>
      </c>
      <c r="H60" s="59">
        <v>3745411</v>
      </c>
      <c r="J60" s="93">
        <v>30134.866000000002</v>
      </c>
      <c r="L60" s="64">
        <f t="shared" si="0"/>
        <v>3077999.6473916438</v>
      </c>
      <c r="M60" s="64">
        <f t="shared" si="1"/>
        <v>1658398.9352986815</v>
      </c>
      <c r="O60" s="59">
        <v>165020914.0159376</v>
      </c>
      <c r="P60" s="59">
        <v>42888229.191071756</v>
      </c>
      <c r="Q60" s="59">
        <v>4295151.7793172579</v>
      </c>
      <c r="R60" s="59">
        <v>113270791.25104779</v>
      </c>
      <c r="S60" s="59">
        <v>2404720.6790027204</v>
      </c>
      <c r="T60" s="59">
        <v>97705668.248563856</v>
      </c>
      <c r="U60" s="59">
        <v>0</v>
      </c>
      <c r="V60" s="59">
        <v>16512789.187891541</v>
      </c>
      <c r="W60" s="59">
        <v>1074472.92585755</v>
      </c>
      <c r="X60" s="59">
        <v>1888307.1277047026</v>
      </c>
      <c r="Z60" s="64">
        <f t="shared" si="2"/>
        <v>165020914.0159376</v>
      </c>
      <c r="AA60" s="64">
        <f t="shared" si="3"/>
        <v>180446155.01418862</v>
      </c>
      <c r="AC60" s="64">
        <v>79742332.922014922</v>
      </c>
      <c r="AD60" s="64">
        <v>26608261.926804803</v>
      </c>
      <c r="AE60" s="64">
        <v>1840679.5677855299</v>
      </c>
      <c r="AF60" s="64">
        <v>50649733.806827955</v>
      </c>
      <c r="AG60" s="64">
        <v>617403.39385039778</v>
      </c>
      <c r="AH60" s="64">
        <v>31208665.333333336</v>
      </c>
      <c r="AI60" s="64">
        <v>38938860</v>
      </c>
      <c r="AJ60" s="64">
        <v>5165237.946269379</v>
      </c>
      <c r="AK60" s="64">
        <v>404503.51795741176</v>
      </c>
      <c r="AL60" s="64">
        <v>1159524</v>
      </c>
      <c r="AN60" s="64">
        <f t="shared" si="4"/>
        <v>79742332.922014922</v>
      </c>
      <c r="AO60" s="64">
        <f t="shared" si="5"/>
        <v>85285820.159495488</v>
      </c>
      <c r="AQ60" s="59">
        <v>1547338.2935955354</v>
      </c>
      <c r="AR60" s="59">
        <v>817378.66284189583</v>
      </c>
      <c r="AS60" s="59">
        <v>0</v>
      </c>
      <c r="AT60" s="59">
        <v>308139.30281272531</v>
      </c>
      <c r="AU60" s="59">
        <v>128688</v>
      </c>
      <c r="AV60" s="59">
        <v>2945259</v>
      </c>
      <c r="AW60" s="59"/>
      <c r="AX60" s="59">
        <f t="shared" si="9"/>
        <v>1547338.2935955354</v>
      </c>
      <c r="AY60" s="59">
        <f t="shared" si="9"/>
        <v>817378.66284189583</v>
      </c>
      <c r="BA60" s="59">
        <v>1580702.410915989</v>
      </c>
      <c r="BB60" s="59">
        <v>907670.36693514907</v>
      </c>
      <c r="BC60" s="59">
        <v>221771.1980675114</v>
      </c>
      <c r="BD60" s="59">
        <v>211134.32403594186</v>
      </c>
      <c r="BE60" s="59">
        <v>8153.8069675074912</v>
      </c>
      <c r="BF60" s="59">
        <v>521533</v>
      </c>
      <c r="BG60" s="59">
        <v>3483608</v>
      </c>
      <c r="BI60" s="59">
        <f t="shared" si="7"/>
        <v>1580702.410915989</v>
      </c>
      <c r="BJ60" s="59">
        <f t="shared" si="8"/>
        <v>1348729.6960061099</v>
      </c>
    </row>
    <row r="61" spans="1:62" x14ac:dyDescent="0.3">
      <c r="A61" s="83">
        <v>44378</v>
      </c>
      <c r="C61" s="59">
        <v>2493264.5448521911</v>
      </c>
      <c r="D61" s="59">
        <v>1266739.7028639163</v>
      </c>
      <c r="E61" s="59">
        <v>273734.88906915009</v>
      </c>
      <c r="F61" s="59">
        <v>40338.39216860399</v>
      </c>
      <c r="G61" s="59">
        <v>1996924.9953691768</v>
      </c>
      <c r="H61" s="59">
        <v>3618798</v>
      </c>
      <c r="J61" s="93">
        <v>28316.563000000002</v>
      </c>
      <c r="L61" s="64">
        <f t="shared" si="0"/>
        <v>2493264.5448521911</v>
      </c>
      <c r="M61" s="64">
        <f t="shared" si="1"/>
        <v>1512158.0289330664</v>
      </c>
      <c r="O61" s="59">
        <v>195285558.60199559</v>
      </c>
      <c r="P61" s="59">
        <v>50496337.446312614</v>
      </c>
      <c r="Q61" s="59">
        <v>4741864.6451225216</v>
      </c>
      <c r="R61" s="59">
        <v>130109700.96495673</v>
      </c>
      <c r="S61" s="59">
        <v>2740256.8812708012</v>
      </c>
      <c r="T61" s="59">
        <v>96447116.144118875</v>
      </c>
      <c r="U61" s="59">
        <v>0</v>
      </c>
      <c r="V61" s="59">
        <v>22628743.847487014</v>
      </c>
      <c r="W61" s="59">
        <v>1711924.7248799829</v>
      </c>
      <c r="X61" s="59">
        <v>1887497.0798143581</v>
      </c>
      <c r="Z61" s="64">
        <f t="shared" si="2"/>
        <v>195285558.60199559</v>
      </c>
      <c r="AA61" s="64">
        <f t="shared" si="3"/>
        <v>212428828.51002964</v>
      </c>
      <c r="AC61" s="64">
        <v>94144496.947904408</v>
      </c>
      <c r="AD61" s="64">
        <v>31997654.370424658</v>
      </c>
      <c r="AE61" s="64">
        <v>2106550.2111230446</v>
      </c>
      <c r="AF61" s="64">
        <v>58891646.042406246</v>
      </c>
      <c r="AG61" s="64">
        <v>729151.9872001207</v>
      </c>
      <c r="AH61" s="64">
        <v>30935839.333333336</v>
      </c>
      <c r="AI61" s="64">
        <v>41087318</v>
      </c>
      <c r="AJ61" s="64">
        <v>7391113.6225923635</v>
      </c>
      <c r="AK61" s="64">
        <v>766324.4595827444</v>
      </c>
      <c r="AL61" s="64">
        <v>1159951</v>
      </c>
      <c r="AN61" s="64">
        <f t="shared" si="4"/>
        <v>94144496.947904408</v>
      </c>
      <c r="AO61" s="64">
        <f t="shared" si="5"/>
        <v>101882440.69332917</v>
      </c>
      <c r="AQ61" s="59">
        <v>1279135.4621066512</v>
      </c>
      <c r="AR61" s="59">
        <v>1019815.4729885883</v>
      </c>
      <c r="AS61" s="59">
        <v>0</v>
      </c>
      <c r="AT61" s="59">
        <v>281816.71935586864</v>
      </c>
      <c r="AU61" s="59">
        <v>124697</v>
      </c>
      <c r="AV61" s="59">
        <v>2624431</v>
      </c>
      <c r="AW61" s="59"/>
      <c r="AX61" s="59">
        <f t="shared" si="9"/>
        <v>1279135.4621066512</v>
      </c>
      <c r="AY61" s="59">
        <f t="shared" si="9"/>
        <v>1019815.4729885883</v>
      </c>
      <c r="BA61" s="59">
        <v>1371586.1075590975</v>
      </c>
      <c r="BB61" s="59">
        <v>914834.09772967559</v>
      </c>
      <c r="BC61" s="59">
        <v>260797.91319470789</v>
      </c>
      <c r="BD61" s="59">
        <v>256174.37022136495</v>
      </c>
      <c r="BE61" s="59">
        <v>7373.6790962711657</v>
      </c>
      <c r="BF61" s="59">
        <v>521014</v>
      </c>
      <c r="BG61" s="59">
        <v>3420356</v>
      </c>
      <c r="BI61" s="59">
        <f t="shared" si="7"/>
        <v>1371586.1075590975</v>
      </c>
      <c r="BJ61" s="59">
        <f t="shared" si="8"/>
        <v>1439180.0602420196</v>
      </c>
    </row>
    <row r="62" spans="1:62" x14ac:dyDescent="0.3">
      <c r="A62" s="83">
        <v>44409</v>
      </c>
      <c r="C62" s="59">
        <v>2291926.8237121999</v>
      </c>
      <c r="D62" s="59">
        <v>1341756.0987340633</v>
      </c>
      <c r="E62" s="59">
        <v>312000.34907442861</v>
      </c>
      <c r="F62" s="59">
        <v>27870.698627819234</v>
      </c>
      <c r="G62" s="59">
        <v>1829281.8892257828</v>
      </c>
      <c r="H62" s="59">
        <v>3424475</v>
      </c>
      <c r="J62" s="93">
        <v>27313.016</v>
      </c>
      <c r="L62" s="64">
        <f t="shared" si="0"/>
        <v>2291926.8237121999</v>
      </c>
      <c r="M62" s="64">
        <f t="shared" si="1"/>
        <v>1626443.4318084919</v>
      </c>
      <c r="O62" s="59">
        <v>191225914.2428537</v>
      </c>
      <c r="P62" s="59">
        <v>48350949.965449534</v>
      </c>
      <c r="Q62" s="59">
        <v>4501418.548615694</v>
      </c>
      <c r="R62" s="59">
        <v>124057261.09914532</v>
      </c>
      <c r="S62" s="59">
        <v>2636862.6361479871</v>
      </c>
      <c r="T62" s="59">
        <v>98492281.836146474</v>
      </c>
      <c r="U62" s="59">
        <v>0</v>
      </c>
      <c r="V62" s="59">
        <v>23462232.226428512</v>
      </c>
      <c r="W62" s="59">
        <v>1610198.4275113207</v>
      </c>
      <c r="X62" s="59">
        <v>1886693.5887108867</v>
      </c>
      <c r="Z62" s="64">
        <f t="shared" si="2"/>
        <v>191225914.2428537</v>
      </c>
      <c r="AA62" s="64">
        <f t="shared" si="3"/>
        <v>204618922.90329838</v>
      </c>
      <c r="AC62" s="64">
        <v>87799379.407979012</v>
      </c>
      <c r="AD62" s="64">
        <v>30680582.613741096</v>
      </c>
      <c r="AE62" s="64">
        <v>2016724.285829158</v>
      </c>
      <c r="AF62" s="64">
        <v>55234168.94124905</v>
      </c>
      <c r="AG62" s="64">
        <v>694281.95912334276</v>
      </c>
      <c r="AH62" s="64">
        <v>31601675.333333336</v>
      </c>
      <c r="AI62" s="64">
        <v>40790854</v>
      </c>
      <c r="AJ62" s="64">
        <v>7609839.8164349776</v>
      </c>
      <c r="AK62" s="64">
        <v>850643.28474580799</v>
      </c>
      <c r="AL62" s="64">
        <v>1160394</v>
      </c>
      <c r="AN62" s="64">
        <f t="shared" si="4"/>
        <v>87799379.407979012</v>
      </c>
      <c r="AO62" s="64">
        <f t="shared" si="5"/>
        <v>97086240.901123434</v>
      </c>
      <c r="AQ62" s="59">
        <v>1162379.4709049407</v>
      </c>
      <c r="AR62" s="59">
        <v>1226116.792264756</v>
      </c>
      <c r="AS62" s="59">
        <v>0</v>
      </c>
      <c r="AT62" s="59">
        <v>242592.53879738972</v>
      </c>
      <c r="AU62" s="59">
        <v>121641</v>
      </c>
      <c r="AV62" s="59">
        <v>2850911</v>
      </c>
      <c r="AW62" s="59"/>
      <c r="AX62" s="59">
        <f t="shared" si="9"/>
        <v>1162379.4709049407</v>
      </c>
      <c r="AY62" s="59">
        <f t="shared" si="9"/>
        <v>1226116.792264756</v>
      </c>
      <c r="BA62" s="59">
        <v>1282971.3331933378</v>
      </c>
      <c r="BB62" s="59">
        <v>935522.40874805127</v>
      </c>
      <c r="BC62" s="59">
        <v>281455.62192655826</v>
      </c>
      <c r="BD62" s="59">
        <v>297939.83665463631</v>
      </c>
      <c r="BE62" s="59">
        <v>15266.107368095832</v>
      </c>
      <c r="BF62" s="59">
        <v>506299</v>
      </c>
      <c r="BG62" s="59">
        <v>3141135.6666666665</v>
      </c>
      <c r="BI62" s="59">
        <f t="shared" si="7"/>
        <v>1282971.3331933378</v>
      </c>
      <c r="BJ62" s="59">
        <f t="shared" si="8"/>
        <v>1530183.9746973417</v>
      </c>
    </row>
    <row r="63" spans="1:62" x14ac:dyDescent="0.3">
      <c r="A63" s="83">
        <v>44440</v>
      </c>
      <c r="C63" s="59">
        <v>2750422.1195686837</v>
      </c>
      <c r="D63" s="59">
        <v>1819669.5612006381</v>
      </c>
      <c r="E63" s="59">
        <v>337334.10845537233</v>
      </c>
      <c r="F63" s="59">
        <v>31081.477735488752</v>
      </c>
      <c r="G63" s="59">
        <v>1878260.8480738134</v>
      </c>
      <c r="H63" s="59">
        <v>3563947</v>
      </c>
      <c r="J63" s="93">
        <v>29790.423999999999</v>
      </c>
      <c r="L63" s="64">
        <f t="shared" si="0"/>
        <v>2750422.1195686837</v>
      </c>
      <c r="M63" s="64">
        <f t="shared" si="1"/>
        <v>2127213.2456560102</v>
      </c>
      <c r="O63" s="59">
        <v>160063751.54039747</v>
      </c>
      <c r="P63" s="59">
        <v>41425536.647392191</v>
      </c>
      <c r="Q63" s="59">
        <v>4075386.6646846039</v>
      </c>
      <c r="R63" s="59">
        <v>108577487.68829221</v>
      </c>
      <c r="S63" s="59">
        <v>2300744.9168249471</v>
      </c>
      <c r="T63" s="59">
        <v>101376122.46979181</v>
      </c>
      <c r="U63" s="59">
        <v>0</v>
      </c>
      <c r="V63" s="59">
        <v>17710632.306531899</v>
      </c>
      <c r="W63" s="59">
        <v>1069776.5095160827</v>
      </c>
      <c r="X63" s="59">
        <v>1885894.6291167194</v>
      </c>
      <c r="Z63" s="64">
        <f t="shared" si="2"/>
        <v>160063751.54039747</v>
      </c>
      <c r="AA63" s="64">
        <f t="shared" si="3"/>
        <v>175159564.73324195</v>
      </c>
      <c r="AC63" s="64">
        <v>74059641.361857414</v>
      </c>
      <c r="AD63" s="64">
        <v>25813591.05846063</v>
      </c>
      <c r="AE63" s="64">
        <v>1791195.505595068</v>
      </c>
      <c r="AF63" s="64">
        <v>48164617.335633442</v>
      </c>
      <c r="AG63" s="64">
        <v>595495.22195762233</v>
      </c>
      <c r="AH63" s="64">
        <v>31915847.333333336</v>
      </c>
      <c r="AI63" s="64">
        <v>39129444</v>
      </c>
      <c r="AJ63" s="64">
        <v>5733780.6234243121</v>
      </c>
      <c r="AK63" s="64">
        <v>563007.61516148504</v>
      </c>
      <c r="AL63" s="64">
        <v>1160846</v>
      </c>
      <c r="AN63" s="64">
        <f t="shared" si="4"/>
        <v>74059641.361857414</v>
      </c>
      <c r="AO63" s="64">
        <f t="shared" si="5"/>
        <v>82661687.360232547</v>
      </c>
      <c r="AQ63" s="59">
        <v>1483120.7022828308</v>
      </c>
      <c r="AR63" s="59">
        <v>1287415.7029846034</v>
      </c>
      <c r="AS63" s="59">
        <v>0</v>
      </c>
      <c r="AT63" s="59">
        <v>222117.20616598678</v>
      </c>
      <c r="AU63" s="59">
        <v>134221</v>
      </c>
      <c r="AV63" s="59">
        <v>2958473</v>
      </c>
      <c r="AW63" s="59"/>
      <c r="AX63" s="59">
        <f t="shared" si="9"/>
        <v>1483120.7022828308</v>
      </c>
      <c r="AY63" s="59">
        <f t="shared" si="9"/>
        <v>1287415.7029846034</v>
      </c>
      <c r="BA63" s="59">
        <v>1328842.4554987091</v>
      </c>
      <c r="BB63" s="59">
        <v>964261.96745646361</v>
      </c>
      <c r="BC63" s="59">
        <v>270833.3056513145</v>
      </c>
      <c r="BD63" s="59">
        <v>475664.85761044081</v>
      </c>
      <c r="BE63" s="59">
        <v>141989.9925817253</v>
      </c>
      <c r="BF63" s="59">
        <v>511008</v>
      </c>
      <c r="BG63" s="59">
        <v>3287392</v>
      </c>
      <c r="BI63" s="59">
        <f t="shared" si="7"/>
        <v>1328842.4554987091</v>
      </c>
      <c r="BJ63" s="59">
        <f t="shared" si="8"/>
        <v>1852750.1232999442</v>
      </c>
    </row>
    <row r="64" spans="1:62" x14ac:dyDescent="0.3">
      <c r="A64" s="83">
        <v>44470</v>
      </c>
      <c r="C64" s="59">
        <v>7409028.2959363777</v>
      </c>
      <c r="D64" s="59">
        <v>4158674.8246861012</v>
      </c>
      <c r="E64" s="59">
        <v>559730.94603819528</v>
      </c>
      <c r="F64" s="59">
        <v>66293.971129947342</v>
      </c>
      <c r="G64" s="59">
        <v>2027511.3118312475</v>
      </c>
      <c r="H64" s="59">
        <v>3645693</v>
      </c>
      <c r="J64" s="93">
        <v>36487.103999999999</v>
      </c>
      <c r="L64" s="64">
        <f t="shared" si="0"/>
        <v>7409028.2959363777</v>
      </c>
      <c r="M64" s="64">
        <f t="shared" si="1"/>
        <v>4681918.6667242963</v>
      </c>
      <c r="O64" s="59">
        <v>184688789.99488339</v>
      </c>
      <c r="P64" s="59">
        <v>46336979.175921977</v>
      </c>
      <c r="Q64" s="59">
        <v>4855382.885165859</v>
      </c>
      <c r="R64" s="59">
        <v>120924929.68834023</v>
      </c>
      <c r="S64" s="59">
        <v>2610992.7644707207</v>
      </c>
      <c r="T64" s="59">
        <v>97317926.005866736</v>
      </c>
      <c r="U64" s="59">
        <v>0</v>
      </c>
      <c r="V64" s="59">
        <v>11455901.181911657</v>
      </c>
      <c r="W64" s="59">
        <v>641302.84937364305</v>
      </c>
      <c r="X64" s="59">
        <v>1885100.3111952813</v>
      </c>
      <c r="Z64" s="64">
        <f t="shared" si="2"/>
        <v>184688789.99488339</v>
      </c>
      <c r="AA64" s="64">
        <f t="shared" si="3"/>
        <v>186825488.54518408</v>
      </c>
      <c r="AC64" s="64">
        <v>88836152.479433775</v>
      </c>
      <c r="AD64" s="64">
        <v>27954870.256185152</v>
      </c>
      <c r="AE64" s="64">
        <v>2115778.6047874782</v>
      </c>
      <c r="AF64" s="64">
        <v>52875039.16076152</v>
      </c>
      <c r="AG64" s="64">
        <v>653992.16820811376</v>
      </c>
      <c r="AH64" s="64">
        <v>30828300.333333336</v>
      </c>
      <c r="AI64" s="64">
        <v>40316814</v>
      </c>
      <c r="AJ64" s="64">
        <v>4375275.3613628801</v>
      </c>
      <c r="AK64" s="64">
        <v>301853.58792123635</v>
      </c>
      <c r="AL64" s="64">
        <v>1161279</v>
      </c>
      <c r="AN64" s="64">
        <f t="shared" si="4"/>
        <v>88836152.479433775</v>
      </c>
      <c r="AO64" s="64">
        <f t="shared" si="5"/>
        <v>88276809.139226362</v>
      </c>
      <c r="AQ64" s="59">
        <v>3919752.9370805682</v>
      </c>
      <c r="AR64" s="59">
        <v>2312145.7690284019</v>
      </c>
      <c r="AS64" s="59">
        <v>0</v>
      </c>
      <c r="AT64" s="59">
        <v>227151.5690173668</v>
      </c>
      <c r="AU64" s="59">
        <v>128490.00000000001</v>
      </c>
      <c r="AV64" s="59">
        <v>3169026</v>
      </c>
      <c r="AW64" s="59"/>
      <c r="AX64" s="59">
        <f t="shared" si="9"/>
        <v>3919752.9370805682</v>
      </c>
      <c r="AY64" s="59">
        <f t="shared" si="9"/>
        <v>2312145.7690284019</v>
      </c>
      <c r="BA64" s="59">
        <v>3072550.4674409614</v>
      </c>
      <c r="BB64" s="59">
        <v>1850908.0381061207</v>
      </c>
      <c r="BC64" s="59">
        <v>440222.92165610852</v>
      </c>
      <c r="BD64" s="59">
        <v>520079.00762234256</v>
      </c>
      <c r="BE64" s="59">
        <v>73128.873247137206</v>
      </c>
      <c r="BF64" s="59">
        <v>495734</v>
      </c>
      <c r="BG64" s="59">
        <v>3254843.3333333335</v>
      </c>
      <c r="BI64" s="59">
        <f t="shared" si="7"/>
        <v>3072550.4674409614</v>
      </c>
      <c r="BJ64" s="59">
        <f t="shared" si="8"/>
        <v>2884338.840631709</v>
      </c>
    </row>
    <row r="65" spans="1:62" x14ac:dyDescent="0.3">
      <c r="A65" s="83">
        <v>44501</v>
      </c>
      <c r="C65" s="59">
        <v>16063756.763414999</v>
      </c>
      <c r="D65" s="59">
        <v>7117984.9448752264</v>
      </c>
      <c r="E65" s="59">
        <v>671659.58594408887</v>
      </c>
      <c r="F65" s="59">
        <v>112137.14322160934</v>
      </c>
      <c r="G65" s="59">
        <v>2706588.2932281587</v>
      </c>
      <c r="H65" s="59">
        <v>4166016</v>
      </c>
      <c r="J65" s="93">
        <v>47656.267999999996</v>
      </c>
      <c r="L65" s="64">
        <f t="shared" si="0"/>
        <v>16063756.763414999</v>
      </c>
      <c r="M65" s="64">
        <f t="shared" si="1"/>
        <v>7741988.2628193153</v>
      </c>
      <c r="O65" s="59">
        <v>229466347.07156238</v>
      </c>
      <c r="P65" s="59">
        <v>49110067.285791315</v>
      </c>
      <c r="Q65" s="59">
        <v>5759339.7493036333</v>
      </c>
      <c r="R65" s="59">
        <v>119548427.90426356</v>
      </c>
      <c r="S65" s="59">
        <v>2809436.3520675544</v>
      </c>
      <c r="T65" s="59">
        <v>99655136.585701615</v>
      </c>
      <c r="U65" s="59">
        <v>0</v>
      </c>
      <c r="V65" s="59">
        <v>5027854.0450138608</v>
      </c>
      <c r="W65" s="59">
        <v>317228.3917426134</v>
      </c>
      <c r="X65" s="59">
        <v>1884297.8200907533</v>
      </c>
      <c r="Z65" s="64">
        <f t="shared" si="2"/>
        <v>229466347.07156238</v>
      </c>
      <c r="AA65" s="64">
        <f t="shared" si="3"/>
        <v>182572353.72818255</v>
      </c>
      <c r="AC65" s="64">
        <v>116433770.40198618</v>
      </c>
      <c r="AD65" s="64">
        <v>30865406.775103234</v>
      </c>
      <c r="AE65" s="64">
        <v>2695672.9981632396</v>
      </c>
      <c r="AF65" s="64">
        <v>53944687.061881907</v>
      </c>
      <c r="AG65" s="64">
        <v>752295.33270045638</v>
      </c>
      <c r="AH65" s="64">
        <v>31816618.333333336</v>
      </c>
      <c r="AI65" s="64">
        <v>37503974</v>
      </c>
      <c r="AJ65" s="64">
        <v>3110676.940779184</v>
      </c>
      <c r="AK65" s="64">
        <v>170506.0319500016</v>
      </c>
      <c r="AL65" s="64">
        <v>1161710</v>
      </c>
      <c r="AN65" s="64">
        <f t="shared" si="4"/>
        <v>116433770.40198618</v>
      </c>
      <c r="AO65" s="64">
        <f t="shared" si="5"/>
        <v>91539245.140578017</v>
      </c>
      <c r="AQ65" s="59">
        <v>8076075.9233430047</v>
      </c>
      <c r="AR65" s="59">
        <v>3430248.7117168391</v>
      </c>
      <c r="AS65" s="59">
        <v>0</v>
      </c>
      <c r="AT65" s="59">
        <v>283276.86274502793</v>
      </c>
      <c r="AU65" s="59">
        <v>151001</v>
      </c>
      <c r="AV65" s="59">
        <v>3058551</v>
      </c>
      <c r="AW65" s="59"/>
      <c r="AX65" s="59">
        <f t="shared" si="9"/>
        <v>8076075.9233430047</v>
      </c>
      <c r="AY65" s="59">
        <f t="shared" si="9"/>
        <v>3430248.7117168391</v>
      </c>
      <c r="BA65" s="59">
        <v>6331033.2512621451</v>
      </c>
      <c r="BB65" s="59">
        <v>3253737.8815642945</v>
      </c>
      <c r="BC65" s="59">
        <v>527255.05464452389</v>
      </c>
      <c r="BD65" s="59">
        <v>526447.83954962995</v>
      </c>
      <c r="BE65" s="59">
        <v>13959.316711992409</v>
      </c>
      <c r="BF65" s="59">
        <v>518852</v>
      </c>
      <c r="BG65" s="59">
        <v>3618459</v>
      </c>
      <c r="BI65" s="59">
        <f t="shared" si="7"/>
        <v>6331033.2512621451</v>
      </c>
      <c r="BJ65" s="59">
        <f t="shared" si="8"/>
        <v>4321400.0924704401</v>
      </c>
    </row>
    <row r="66" spans="1:62" x14ac:dyDescent="0.3">
      <c r="A66" s="83">
        <v>44531</v>
      </c>
      <c r="C66" s="59">
        <v>22548721.605532456</v>
      </c>
      <c r="D66" s="59">
        <v>8599154.9303188752</v>
      </c>
      <c r="E66" s="59">
        <v>606398.33393812866</v>
      </c>
      <c r="F66" s="59">
        <v>131123.71705355012</v>
      </c>
      <c r="G66" s="59">
        <v>3026222.4353024946</v>
      </c>
      <c r="H66" s="59">
        <v>4537347</v>
      </c>
      <c r="J66" s="93">
        <v>74705.248000000007</v>
      </c>
      <c r="L66" s="64">
        <f t="shared" si="0"/>
        <v>22548721.605532456</v>
      </c>
      <c r="M66" s="64">
        <f t="shared" si="1"/>
        <v>9130848.0162570048</v>
      </c>
      <c r="O66" s="59">
        <v>296960107.84411633</v>
      </c>
      <c r="P66" s="59">
        <v>55688642.732797742</v>
      </c>
      <c r="Q66" s="59">
        <v>7268321.8666019253</v>
      </c>
      <c r="R66" s="59">
        <v>127228383.13451347</v>
      </c>
      <c r="S66" s="59">
        <v>3332300.3475546893</v>
      </c>
      <c r="T66" s="59">
        <v>96068170.054034337</v>
      </c>
      <c r="U66" s="59">
        <v>0</v>
      </c>
      <c r="V66" s="59">
        <v>4139233.9947759812</v>
      </c>
      <c r="W66" s="59">
        <v>280794.86774573586</v>
      </c>
      <c r="X66" s="59">
        <v>1883491.3567956337</v>
      </c>
      <c r="Z66" s="64">
        <f t="shared" si="2"/>
        <v>296960107.84411633</v>
      </c>
      <c r="AA66" s="64">
        <f t="shared" si="3"/>
        <v>197937676.94398952</v>
      </c>
      <c r="AC66" s="64">
        <v>149557432.19225776</v>
      </c>
      <c r="AD66" s="64">
        <v>36205036.136304311</v>
      </c>
      <c r="AE66" s="64">
        <v>3477460.3231583592</v>
      </c>
      <c r="AF66" s="64">
        <v>58579901.860808358</v>
      </c>
      <c r="AG66" s="64">
        <v>932946.93430890166</v>
      </c>
      <c r="AH66" s="64">
        <v>30975554.333333336</v>
      </c>
      <c r="AI66" s="64">
        <v>38765135</v>
      </c>
      <c r="AJ66" s="64">
        <v>3164626.0648443936</v>
      </c>
      <c r="AK66" s="64">
        <v>189076.96501161979</v>
      </c>
      <c r="AL66" s="64">
        <v>1162152</v>
      </c>
      <c r="AN66" s="64">
        <f t="shared" si="4"/>
        <v>149557432.19225776</v>
      </c>
      <c r="AO66" s="64">
        <f t="shared" si="5"/>
        <v>102549048.28443596</v>
      </c>
      <c r="AQ66" s="59">
        <v>10758798.906816199</v>
      </c>
      <c r="AR66" s="59">
        <v>3842549.2390971989</v>
      </c>
      <c r="AS66" s="59">
        <v>0</v>
      </c>
      <c r="AT66" s="59">
        <v>237847.18853623088</v>
      </c>
      <c r="AU66" s="59">
        <v>142371</v>
      </c>
      <c r="AV66" s="59">
        <v>4103788</v>
      </c>
      <c r="AW66" s="59"/>
      <c r="AX66" s="59">
        <f t="shared" si="9"/>
        <v>10758798.906816199</v>
      </c>
      <c r="AY66" s="59">
        <f t="shared" si="9"/>
        <v>3842549.2390971989</v>
      </c>
      <c r="BA66" s="59">
        <v>8922197.4318436421</v>
      </c>
      <c r="BB66" s="59">
        <v>4537593.7570717735</v>
      </c>
      <c r="BC66" s="59">
        <v>508268.21124903695</v>
      </c>
      <c r="BD66" s="59">
        <v>451551.20116782677</v>
      </c>
      <c r="BE66" s="59">
        <v>3374.4712221133609</v>
      </c>
      <c r="BF66" s="59">
        <v>484618</v>
      </c>
      <c r="BG66" s="59">
        <v>3652629</v>
      </c>
      <c r="BI66" s="59">
        <f t="shared" si="7"/>
        <v>8922197.4318436421</v>
      </c>
      <c r="BJ66" s="59">
        <f t="shared" si="8"/>
        <v>5500787.6407107506</v>
      </c>
    </row>
  </sheetData>
  <mergeCells count="7">
    <mergeCell ref="BI3:BJ3"/>
    <mergeCell ref="A1:A2"/>
    <mergeCell ref="J3:J4"/>
    <mergeCell ref="L3:M3"/>
    <mergeCell ref="Z3:AA3"/>
    <mergeCell ref="AN3:AO3"/>
    <mergeCell ref="AX3:AY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1"/>
  <sheetViews>
    <sheetView topLeftCell="A57" zoomScaleNormal="100" workbookViewId="0">
      <selection activeCell="C79" sqref="C79"/>
    </sheetView>
  </sheetViews>
  <sheetFormatPr defaultRowHeight="14.4" x14ac:dyDescent="0.3"/>
  <cols>
    <col min="1" max="1" width="5.21875" customWidth="1"/>
    <col min="2" max="2" width="29.21875" customWidth="1"/>
    <col min="3" max="3" width="15" customWidth="1"/>
    <col min="4" max="4" width="14.21875" customWidth="1"/>
    <col min="5" max="5" width="19.88671875" customWidth="1"/>
    <col min="6" max="6" width="2.21875" customWidth="1"/>
    <col min="7" max="7" width="5.21875" customWidth="1"/>
    <col min="8" max="8" width="28.77734375" customWidth="1"/>
    <col min="9" max="9" width="14" customWidth="1"/>
    <col min="10" max="10" width="15.21875" customWidth="1"/>
    <col min="11" max="11" width="19.109375" customWidth="1"/>
    <col min="12" max="12" width="2.21875" customWidth="1"/>
    <col min="13" max="13" width="12.5546875" bestFit="1" customWidth="1"/>
    <col min="14" max="14" width="11.109375" bestFit="1" customWidth="1"/>
    <col min="15" max="15" width="10" customWidth="1"/>
  </cols>
  <sheetData>
    <row r="1" spans="1:15" x14ac:dyDescent="0.3">
      <c r="B1" s="115" t="s">
        <v>0</v>
      </c>
      <c r="C1" s="115"/>
      <c r="D1" s="115"/>
      <c r="E1" s="115"/>
      <c r="F1" s="65"/>
      <c r="G1" s="66"/>
      <c r="H1" s="115" t="s">
        <v>0</v>
      </c>
      <c r="I1" s="115"/>
      <c r="J1" s="115"/>
      <c r="K1" s="115"/>
    </row>
    <row r="2" spans="1:15" x14ac:dyDescent="0.3">
      <c r="B2" s="115" t="s">
        <v>1</v>
      </c>
      <c r="C2" s="115"/>
      <c r="D2" s="115"/>
      <c r="E2" s="115"/>
      <c r="F2" s="65"/>
      <c r="G2" s="66"/>
      <c r="H2" s="115" t="s">
        <v>1</v>
      </c>
      <c r="I2" s="115"/>
      <c r="J2" s="115"/>
      <c r="K2" s="115"/>
    </row>
    <row r="3" spans="1:15" x14ac:dyDescent="0.3">
      <c r="B3" s="115" t="s">
        <v>2</v>
      </c>
      <c r="C3" s="115"/>
      <c r="D3" s="115"/>
      <c r="E3" s="115"/>
      <c r="F3" s="65"/>
      <c r="G3" s="66"/>
      <c r="H3" s="115" t="s">
        <v>2</v>
      </c>
      <c r="I3" s="115"/>
      <c r="J3" s="115"/>
      <c r="K3" s="115"/>
    </row>
    <row r="4" spans="1:15" x14ac:dyDescent="0.3"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5" x14ac:dyDescent="0.3">
      <c r="B5" s="116" t="s">
        <v>5</v>
      </c>
      <c r="C5" s="116"/>
      <c r="D5" s="116"/>
      <c r="E5" s="116"/>
      <c r="F5" s="44"/>
      <c r="G5" s="38"/>
      <c r="H5" s="116" t="s">
        <v>16</v>
      </c>
      <c r="I5" s="116"/>
      <c r="J5" s="116"/>
      <c r="K5" s="116"/>
    </row>
    <row r="6" spans="1:15" ht="30" customHeight="1" x14ac:dyDescent="0.3">
      <c r="A6" s="107" t="s">
        <v>166</v>
      </c>
      <c r="B6" s="35" t="s">
        <v>3</v>
      </c>
      <c r="C6" s="35" t="s">
        <v>7</v>
      </c>
      <c r="D6" s="35" t="s">
        <v>8</v>
      </c>
      <c r="E6" s="35" t="s">
        <v>183</v>
      </c>
      <c r="F6" s="35"/>
      <c r="G6" s="107" t="s">
        <v>166</v>
      </c>
      <c r="H6" s="35" t="s">
        <v>3</v>
      </c>
      <c r="I6" s="35" t="s">
        <v>7</v>
      </c>
      <c r="J6" s="35" t="s">
        <v>8</v>
      </c>
      <c r="K6" s="91" t="s">
        <v>183</v>
      </c>
    </row>
    <row r="7" spans="1:15" x14ac:dyDescent="0.3">
      <c r="A7" s="109">
        <v>1</v>
      </c>
      <c r="B7" s="35"/>
      <c r="C7" s="35">
        <f>ROUND(C8/E22,5)</f>
        <v>4.589E-2</v>
      </c>
      <c r="D7" s="36">
        <v>3.5000000000000003E-2</v>
      </c>
      <c r="E7" s="35"/>
      <c r="F7" s="35"/>
      <c r="G7" s="109">
        <v>1</v>
      </c>
      <c r="H7" s="35"/>
      <c r="I7" s="35">
        <f>ROUND(I8/K22,5)</f>
        <v>3.397E-2</v>
      </c>
      <c r="J7" s="36">
        <v>3.5000000000000003E-2</v>
      </c>
      <c r="K7" s="35"/>
      <c r="O7" s="82"/>
    </row>
    <row r="8" spans="1:15" x14ac:dyDescent="0.3">
      <c r="A8" s="109">
        <v>2</v>
      </c>
      <c r="B8" s="67">
        <v>42644</v>
      </c>
      <c r="C8" s="37">
        <f>C58</f>
        <v>5470378.0609094361</v>
      </c>
      <c r="D8" s="37"/>
      <c r="E8" s="38"/>
      <c r="F8" s="38"/>
      <c r="G8" s="109">
        <v>2</v>
      </c>
      <c r="H8" s="67">
        <v>42644</v>
      </c>
      <c r="I8" s="37">
        <f>I58</f>
        <v>1786768.6161003609</v>
      </c>
      <c r="J8" s="37"/>
      <c r="K8" s="38"/>
    </row>
    <row r="9" spans="1:15" x14ac:dyDescent="0.3">
      <c r="A9" s="109">
        <v>3</v>
      </c>
      <c r="B9" s="67">
        <v>42675</v>
      </c>
      <c r="C9" s="37">
        <f>C8-($C$7*E9)</f>
        <v>4812945.8589208862</v>
      </c>
      <c r="D9" s="37">
        <f>(C8+C9)/2*($D$7/12)</f>
        <v>14996.514049752554</v>
      </c>
      <c r="E9" s="41">
        <f>'7 15 16 Forecast Usage by Sched'!L5</f>
        <v>14326262.84568643</v>
      </c>
      <c r="F9" s="41"/>
      <c r="G9" s="109">
        <v>3</v>
      </c>
      <c r="H9" s="67">
        <v>42675</v>
      </c>
      <c r="I9" s="37">
        <f>I8-($I$7*K9)</f>
        <v>1567794.1204547205</v>
      </c>
      <c r="J9" s="37">
        <f>(I8+I9)/2*($J$7/12)</f>
        <v>4892.0706574761607</v>
      </c>
      <c r="K9" s="41">
        <f>'7 15 16 Forecast Usage by Sched'!M5</f>
        <v>6446114.0902455235</v>
      </c>
      <c r="M9" s="59"/>
      <c r="N9" s="59"/>
      <c r="O9" s="59"/>
    </row>
    <row r="10" spans="1:15" x14ac:dyDescent="0.3">
      <c r="A10" s="109">
        <v>4</v>
      </c>
      <c r="B10" s="67">
        <v>42705</v>
      </c>
      <c r="C10" s="37">
        <f t="shared" ref="C10:C20" si="0">C9-($C$7*E10)</f>
        <v>3860514.6002424136</v>
      </c>
      <c r="D10" s="37">
        <f t="shared" ref="D10:D20" si="1">(C9+C10)/2*($D$7/12)</f>
        <v>12648.796502946481</v>
      </c>
      <c r="E10" s="41">
        <f>'7 15 16 Forecast Usage by Sched'!L6</f>
        <v>20754658.066647906</v>
      </c>
      <c r="F10" s="41"/>
      <c r="G10" s="109">
        <v>4</v>
      </c>
      <c r="H10" s="67">
        <v>42705</v>
      </c>
      <c r="I10" s="37">
        <f t="shared" ref="I10:I20" si="2">I9-($I$7*K10)</f>
        <v>1299195.3976307649</v>
      </c>
      <c r="J10" s="37">
        <f t="shared" ref="J10:J20" si="3">(I9+I10)/2*($J$7/12)</f>
        <v>4181.0263805413333</v>
      </c>
      <c r="K10" s="41">
        <f>'7 15 16 Forecast Usage by Sched'!M6</f>
        <v>7906939.1470107632</v>
      </c>
      <c r="M10" s="59"/>
      <c r="N10" s="59"/>
      <c r="O10" s="59"/>
    </row>
    <row r="11" spans="1:15" x14ac:dyDescent="0.3">
      <c r="A11" s="109">
        <v>5</v>
      </c>
      <c r="B11" s="67">
        <v>42736</v>
      </c>
      <c r="C11" s="37">
        <f t="shared" si="0"/>
        <v>2874988.1578927082</v>
      </c>
      <c r="D11" s="37">
        <f t="shared" si="1"/>
        <v>9822.6081889470515</v>
      </c>
      <c r="E11" s="41">
        <f>'7 15 16 Forecast Usage by Sched'!L7</f>
        <v>21475843.154275555</v>
      </c>
      <c r="F11" s="41"/>
      <c r="G11" s="109">
        <v>5</v>
      </c>
      <c r="H11" s="67">
        <v>42736</v>
      </c>
      <c r="I11" s="37">
        <f t="shared" si="2"/>
        <v>1030555.6206563781</v>
      </c>
      <c r="J11" s="37">
        <f t="shared" si="3"/>
        <v>3397.5535683354165</v>
      </c>
      <c r="K11" s="41">
        <f>'7 15 16 Forecast Usage by Sched'!M7</f>
        <v>7908147.6883834796</v>
      </c>
      <c r="M11" s="59"/>
      <c r="N11" s="59"/>
      <c r="O11" s="59"/>
    </row>
    <row r="12" spans="1:15" x14ac:dyDescent="0.3">
      <c r="A12" s="109">
        <v>6</v>
      </c>
      <c r="B12" s="67">
        <v>42767</v>
      </c>
      <c r="C12" s="37">
        <f t="shared" si="0"/>
        <v>2072901.8217989076</v>
      </c>
      <c r="D12" s="37">
        <f t="shared" si="1"/>
        <v>7215.6728870502729</v>
      </c>
      <c r="E12" s="41">
        <f>'7 15 16 Forecast Usage by Sched'!L8</f>
        <v>17478455.787618231</v>
      </c>
      <c r="F12" s="41"/>
      <c r="G12" s="109">
        <v>6</v>
      </c>
      <c r="H12" s="67">
        <v>42767</v>
      </c>
      <c r="I12" s="37">
        <f t="shared" si="2"/>
        <v>805109.66551752482</v>
      </c>
      <c r="J12" s="37">
        <f t="shared" si="3"/>
        <v>2677.011875670275</v>
      </c>
      <c r="K12" s="41">
        <f>'7 15 16 Forecast Usage by Sched'!M8</f>
        <v>6636619.2269312125</v>
      </c>
      <c r="M12" s="59"/>
      <c r="N12" s="59"/>
      <c r="O12" s="59"/>
    </row>
    <row r="13" spans="1:15" x14ac:dyDescent="0.3">
      <c r="A13" s="109">
        <v>7</v>
      </c>
      <c r="B13" s="67">
        <v>42795</v>
      </c>
      <c r="C13" s="37">
        <f t="shared" si="0"/>
        <v>1392958.6998805772</v>
      </c>
      <c r="D13" s="37">
        <f t="shared" si="1"/>
        <v>5054.3799274492485</v>
      </c>
      <c r="E13" s="41">
        <f>'7 15 16 Forecast Usage by Sched'!L9</f>
        <v>14816803.702731106</v>
      </c>
      <c r="F13" s="41"/>
      <c r="G13" s="109">
        <v>7</v>
      </c>
      <c r="H13" s="67">
        <v>42795</v>
      </c>
      <c r="I13" s="37">
        <f t="shared" si="2"/>
        <v>612741.21555886627</v>
      </c>
      <c r="J13" s="37">
        <f t="shared" si="3"/>
        <v>2067.6992015697369</v>
      </c>
      <c r="K13" s="41">
        <f>'7 15 16 Forecast Usage by Sched'!M9</f>
        <v>5662892.2566575957</v>
      </c>
      <c r="M13" s="59"/>
      <c r="N13" s="59"/>
      <c r="O13" s="59"/>
    </row>
    <row r="14" spans="1:15" x14ac:dyDescent="0.3">
      <c r="A14" s="109">
        <v>8</v>
      </c>
      <c r="B14" s="67">
        <v>42826</v>
      </c>
      <c r="C14" s="37">
        <f t="shared" si="0"/>
        <v>986358.90165735618</v>
      </c>
      <c r="D14" s="37">
        <f t="shared" si="1"/>
        <v>3469.8381689094867</v>
      </c>
      <c r="E14" s="41">
        <f>'7 15 16 Forecast Usage by Sched'!L10</f>
        <v>8860313.7551366519</v>
      </c>
      <c r="F14" s="41"/>
      <c r="G14" s="109">
        <v>8</v>
      </c>
      <c r="H14" s="67">
        <v>42826</v>
      </c>
      <c r="I14" s="37">
        <f t="shared" si="2"/>
        <v>487153.51911212667</v>
      </c>
      <c r="J14" s="37">
        <f t="shared" si="3"/>
        <v>1604.0131547285314</v>
      </c>
      <c r="K14" s="41">
        <f>'7 15 16 Forecast Usage by Sched'!M10</f>
        <v>3697017.8524209475</v>
      </c>
      <c r="M14" s="59"/>
      <c r="N14" s="59"/>
      <c r="O14" s="59"/>
    </row>
    <row r="15" spans="1:15" x14ac:dyDescent="0.3">
      <c r="A15" s="109">
        <v>9</v>
      </c>
      <c r="B15" s="67">
        <v>42856</v>
      </c>
      <c r="C15" s="37">
        <f t="shared" si="0"/>
        <v>760785.050051281</v>
      </c>
      <c r="D15" s="37">
        <f t="shared" si="1"/>
        <v>2547.9182629084294</v>
      </c>
      <c r="E15" s="41">
        <f>'7 15 16 Forecast Usage by Sched'!L11</f>
        <v>4915533.920376447</v>
      </c>
      <c r="F15" s="41"/>
      <c r="G15" s="109">
        <v>9</v>
      </c>
      <c r="H15" s="67">
        <v>42856</v>
      </c>
      <c r="I15" s="37">
        <f t="shared" si="2"/>
        <v>407287.80201030371</v>
      </c>
      <c r="J15" s="37">
        <f t="shared" si="3"/>
        <v>1304.3935933035443</v>
      </c>
      <c r="K15" s="41">
        <f>'7 15 16 Forecast Usage by Sched'!M11</f>
        <v>2351066.1495973794</v>
      </c>
      <c r="M15" s="59"/>
      <c r="N15" s="59"/>
      <c r="O15" s="59"/>
    </row>
    <row r="16" spans="1:15" x14ac:dyDescent="0.3">
      <c r="A16" s="109">
        <v>10</v>
      </c>
      <c r="B16" s="67">
        <v>42887</v>
      </c>
      <c r="C16" s="37">
        <f t="shared" si="0"/>
        <v>630835.63462407258</v>
      </c>
      <c r="D16" s="37">
        <f t="shared" si="1"/>
        <v>2029.4468318182242</v>
      </c>
      <c r="E16" s="41">
        <f>'7 15 16 Forecast Usage by Sched'!L12</f>
        <v>2831758.8892396693</v>
      </c>
      <c r="F16" s="41"/>
      <c r="G16" s="109">
        <v>10</v>
      </c>
      <c r="H16" s="67">
        <v>42887</v>
      </c>
      <c r="I16" s="37">
        <f t="shared" si="2"/>
        <v>347909.91965036636</v>
      </c>
      <c r="J16" s="37">
        <f t="shared" si="3"/>
        <v>1101.330010755144</v>
      </c>
      <c r="K16" s="41">
        <f>'7 15 16 Forecast Usage by Sched'!M12</f>
        <v>1747950.614069395</v>
      </c>
      <c r="M16" s="59"/>
      <c r="N16" s="59"/>
      <c r="O16" s="59"/>
    </row>
    <row r="17" spans="1:15" x14ac:dyDescent="0.3">
      <c r="A17" s="109">
        <v>11</v>
      </c>
      <c r="B17" s="67">
        <v>42917</v>
      </c>
      <c r="C17" s="37">
        <f t="shared" si="0"/>
        <v>529529.16440297174</v>
      </c>
      <c r="D17" s="37">
        <f t="shared" si="1"/>
        <v>1692.1986652477731</v>
      </c>
      <c r="E17" s="41">
        <f>'7 15 16 Forecast Usage by Sched'!L13</f>
        <v>2207593.5981935249</v>
      </c>
      <c r="F17" s="41"/>
      <c r="G17" s="109">
        <v>11</v>
      </c>
      <c r="H17" s="67">
        <v>42917</v>
      </c>
      <c r="I17" s="37">
        <f t="shared" si="2"/>
        <v>289920.141672333</v>
      </c>
      <c r="J17" s="37">
        <f t="shared" si="3"/>
        <v>930.16883942893651</v>
      </c>
      <c r="K17" s="41">
        <f>'7 15 16 Forecast Usage by Sched'!M13</f>
        <v>1707087.959318026</v>
      </c>
      <c r="M17" s="59"/>
      <c r="N17" s="59"/>
      <c r="O17" s="59"/>
    </row>
    <row r="18" spans="1:15" x14ac:dyDescent="0.3">
      <c r="A18" s="109">
        <v>12</v>
      </c>
      <c r="B18" s="67">
        <v>42948</v>
      </c>
      <c r="C18" s="37">
        <f t="shared" si="0"/>
        <v>438139.54448652611</v>
      </c>
      <c r="D18" s="37">
        <f t="shared" si="1"/>
        <v>1411.1835337971845</v>
      </c>
      <c r="E18" s="41">
        <f>'7 15 16 Forecast Usage by Sched'!L14</f>
        <v>1991493.1339386718</v>
      </c>
      <c r="F18" s="41"/>
      <c r="G18" s="109">
        <v>12</v>
      </c>
      <c r="H18" s="67">
        <v>42948</v>
      </c>
      <c r="I18" s="37">
        <f t="shared" si="2"/>
        <v>229152.97152058643</v>
      </c>
      <c r="J18" s="37">
        <f t="shared" si="3"/>
        <v>756.98162340634087</v>
      </c>
      <c r="K18" s="41">
        <f>'7 15 16 Forecast Usage by Sched'!M14</f>
        <v>1788848.1057328989</v>
      </c>
      <c r="M18" s="59"/>
      <c r="N18" s="59"/>
      <c r="O18" s="59"/>
    </row>
    <row r="19" spans="1:15" x14ac:dyDescent="0.3">
      <c r="A19" s="109">
        <v>13</v>
      </c>
      <c r="B19" s="67">
        <v>42979</v>
      </c>
      <c r="C19" s="37">
        <f t="shared" si="0"/>
        <v>322776.9787315345</v>
      </c>
      <c r="D19" s="37">
        <f t="shared" si="1"/>
        <v>1109.6699296930051</v>
      </c>
      <c r="E19" s="41">
        <f>'7 15 16 Forecast Usage by Sched'!L15</f>
        <v>2513893.3483327874</v>
      </c>
      <c r="F19" s="41"/>
      <c r="G19" s="109">
        <v>13</v>
      </c>
      <c r="H19" s="67">
        <v>42979</v>
      </c>
      <c r="I19" s="37">
        <f t="shared" si="2"/>
        <v>154804.44316062954</v>
      </c>
      <c r="J19" s="37">
        <f t="shared" si="3"/>
        <v>559.93789641010665</v>
      </c>
      <c r="K19" s="41">
        <f>'7 15 16 Forecast Usage by Sched'!M15</f>
        <v>2188652.5863984949</v>
      </c>
      <c r="M19" s="59"/>
      <c r="N19" s="59"/>
      <c r="O19" s="59"/>
    </row>
    <row r="20" spans="1:15" x14ac:dyDescent="0.3">
      <c r="A20" s="109">
        <v>14</v>
      </c>
      <c r="B20" s="67">
        <v>43009</v>
      </c>
      <c r="C20" s="37">
        <f t="shared" si="0"/>
        <v>289.48183047253406</v>
      </c>
      <c r="D20" s="37">
        <f t="shared" si="1"/>
        <v>471.13858831959362</v>
      </c>
      <c r="E20" s="41">
        <f>'7 15 16 Forecast Usage by Sched'!L16</f>
        <v>7027402.4166716486</v>
      </c>
      <c r="F20" s="41"/>
      <c r="G20" s="109">
        <v>14</v>
      </c>
      <c r="H20" s="67">
        <v>43009</v>
      </c>
      <c r="I20" s="37">
        <f t="shared" si="2"/>
        <v>-103.10976918361848</v>
      </c>
      <c r="J20" s="37">
        <f t="shared" si="3"/>
        <v>225.60611119585866</v>
      </c>
      <c r="K20" s="41">
        <f>'7 15 16 Forecast Usage by Sched'!M16</f>
        <v>4560128.140412516</v>
      </c>
      <c r="M20" s="59"/>
      <c r="N20" s="59"/>
      <c r="O20" s="59"/>
    </row>
    <row r="21" spans="1:15" x14ac:dyDescent="0.3">
      <c r="B21" s="38"/>
      <c r="C21" s="38"/>
      <c r="D21" s="38"/>
      <c r="E21" s="38"/>
      <c r="F21" s="38"/>
      <c r="H21" s="38"/>
      <c r="I21" s="38"/>
      <c r="J21" s="38"/>
      <c r="K21" s="38"/>
    </row>
    <row r="22" spans="1:15" x14ac:dyDescent="0.3">
      <c r="A22" s="109">
        <v>15</v>
      </c>
      <c r="B22" s="38" t="s">
        <v>6</v>
      </c>
      <c r="C22" s="38"/>
      <c r="D22" s="37">
        <f>SUM(D9:D21)</f>
        <v>62469.365536839301</v>
      </c>
      <c r="E22" s="46">
        <f>SUM(E9:E21)</f>
        <v>119200012.61884864</v>
      </c>
      <c r="F22" s="46"/>
      <c r="G22" s="109">
        <v>15</v>
      </c>
      <c r="H22" s="38" t="s">
        <v>6</v>
      </c>
      <c r="I22" s="38"/>
      <c r="J22" s="37">
        <f>SUM(J9:J21)</f>
        <v>23697.792912821384</v>
      </c>
      <c r="K22" s="46">
        <f>SUM(K9:K21)</f>
        <v>52601463.817178227</v>
      </c>
    </row>
    <row r="23" spans="1:15" ht="10.199999999999999" customHeight="1" x14ac:dyDescent="0.3">
      <c r="B23" s="38"/>
      <c r="C23" s="38"/>
      <c r="D23" s="37"/>
      <c r="E23" s="46"/>
      <c r="F23" s="46"/>
      <c r="H23" s="38"/>
      <c r="I23" s="38"/>
      <c r="J23" s="37"/>
      <c r="K23" s="46"/>
    </row>
    <row r="24" spans="1:15" ht="27" customHeight="1" x14ac:dyDescent="0.3">
      <c r="A24" s="109">
        <v>16</v>
      </c>
      <c r="B24" s="117" t="s">
        <v>10</v>
      </c>
      <c r="C24" s="117"/>
      <c r="D24" s="39">
        <f>ROUND(D22/E22,5)</f>
        <v>5.1999999999999995E-4</v>
      </c>
      <c r="E24" s="46"/>
      <c r="F24" s="46"/>
      <c r="G24" s="109">
        <v>16</v>
      </c>
      <c r="H24" s="117" t="s">
        <v>10</v>
      </c>
      <c r="I24" s="117"/>
      <c r="J24" s="39">
        <f>ROUND(J22/K22,5)</f>
        <v>4.4999999999999999E-4</v>
      </c>
      <c r="K24" s="46"/>
    </row>
    <row r="25" spans="1:15" ht="28.2" customHeight="1" x14ac:dyDescent="0.3">
      <c r="A25" s="109">
        <v>17</v>
      </c>
      <c r="B25" s="117" t="s">
        <v>11</v>
      </c>
      <c r="C25" s="117"/>
      <c r="D25" s="39">
        <f>C7</f>
        <v>4.589E-2</v>
      </c>
      <c r="E25" s="46"/>
      <c r="F25" s="46"/>
      <c r="G25" s="109">
        <v>17</v>
      </c>
      <c r="H25" s="117" t="s">
        <v>11</v>
      </c>
      <c r="I25" s="117"/>
      <c r="J25" s="39">
        <f>I7</f>
        <v>3.397E-2</v>
      </c>
      <c r="K25" s="46"/>
    </row>
    <row r="26" spans="1:15" ht="28.8" customHeight="1" x14ac:dyDescent="0.3">
      <c r="A26" s="109">
        <v>18</v>
      </c>
      <c r="B26" s="117" t="s">
        <v>12</v>
      </c>
      <c r="C26" s="117"/>
      <c r="D26" s="39">
        <f>D24+D25</f>
        <v>4.641E-2</v>
      </c>
      <c r="E26" s="47"/>
      <c r="F26" s="47"/>
      <c r="G26" s="109">
        <v>18</v>
      </c>
      <c r="H26" s="117" t="s">
        <v>12</v>
      </c>
      <c r="I26" s="117"/>
      <c r="J26" s="39">
        <f>J24+J25</f>
        <v>3.4419999999999999E-2</v>
      </c>
      <c r="K26" s="47"/>
    </row>
    <row r="27" spans="1:15" ht="28.8" customHeight="1" x14ac:dyDescent="0.3">
      <c r="A27" s="109">
        <v>19</v>
      </c>
      <c r="B27" s="118" t="s">
        <v>13</v>
      </c>
      <c r="C27" s="118"/>
      <c r="D27" s="40">
        <f>'Conversion Factors'!$K$115</f>
        <v>1.049318</v>
      </c>
      <c r="E27" s="46"/>
      <c r="F27" s="46"/>
      <c r="G27" s="109">
        <v>19</v>
      </c>
      <c r="H27" s="118" t="s">
        <v>13</v>
      </c>
      <c r="I27" s="118"/>
      <c r="J27" s="40">
        <f>D27</f>
        <v>1.049318</v>
      </c>
      <c r="K27" s="46"/>
    </row>
    <row r="28" spans="1:15" ht="27" customHeight="1" x14ac:dyDescent="0.3">
      <c r="A28" s="109">
        <v>20</v>
      </c>
      <c r="B28" s="38" t="s">
        <v>100</v>
      </c>
      <c r="C28" s="38"/>
      <c r="D28" s="39">
        <f>ROUND(D26*D27,5)</f>
        <v>4.87E-2</v>
      </c>
      <c r="E28" s="46"/>
      <c r="F28" s="46"/>
      <c r="G28" s="109">
        <v>20</v>
      </c>
      <c r="H28" s="38" t="s">
        <v>100</v>
      </c>
      <c r="I28" s="38"/>
      <c r="J28" s="39">
        <f>ROUND(J26*J27,5)</f>
        <v>3.6119999999999999E-2</v>
      </c>
      <c r="K28" s="46"/>
    </row>
    <row r="29" spans="1:15" ht="27" customHeight="1" x14ac:dyDescent="0.3">
      <c r="A29" s="109">
        <v>21</v>
      </c>
      <c r="B29" s="38" t="s">
        <v>88</v>
      </c>
      <c r="C29" s="38"/>
      <c r="D29" s="39">
        <f>'Earnings Test and 3% Test'!G67</f>
        <v>-1.9429999999999999E-2</v>
      </c>
      <c r="E29" s="46"/>
      <c r="F29" s="46"/>
      <c r="G29" s="109">
        <v>21</v>
      </c>
      <c r="H29" s="38" t="s">
        <v>88</v>
      </c>
      <c r="I29" s="38"/>
      <c r="J29" s="39">
        <f>'Earnings Test and 3% Test'!G68</f>
        <v>-1.504E-2</v>
      </c>
      <c r="K29" s="46"/>
    </row>
    <row r="30" spans="1:15" ht="27" customHeight="1" x14ac:dyDescent="0.3">
      <c r="A30" s="109">
        <v>22</v>
      </c>
      <c r="B30" s="38" t="s">
        <v>89</v>
      </c>
      <c r="C30" s="38"/>
      <c r="D30" s="39">
        <f>D28+D29</f>
        <v>2.9270000000000001E-2</v>
      </c>
      <c r="E30" s="46" t="s">
        <v>15</v>
      </c>
      <c r="F30" s="46"/>
      <c r="G30" s="109">
        <v>22</v>
      </c>
      <c r="H30" s="38" t="s">
        <v>89</v>
      </c>
      <c r="I30" s="38"/>
      <c r="J30" s="39">
        <f>J28+J29</f>
        <v>2.1080000000000002E-2</v>
      </c>
      <c r="K30" s="46" t="s">
        <v>15</v>
      </c>
    </row>
    <row r="31" spans="1:15" ht="27" customHeight="1" x14ac:dyDescent="0.3">
      <c r="A31" s="109">
        <v>23</v>
      </c>
      <c r="B31" s="38"/>
      <c r="C31" s="42" t="s">
        <v>96</v>
      </c>
      <c r="D31" s="39">
        <f>ROUND(D30*'Conversion Factors'!$K$108,5)</f>
        <v>2.7890000000000002E-2</v>
      </c>
      <c r="E31" s="46" t="s">
        <v>14</v>
      </c>
      <c r="F31" s="46"/>
      <c r="G31" s="109">
        <v>23</v>
      </c>
      <c r="H31" s="38"/>
      <c r="I31" s="42" t="s">
        <v>96</v>
      </c>
      <c r="J31" s="39">
        <f>ROUND(J30*'Conversion Factors'!$K$108,5)</f>
        <v>2.009E-2</v>
      </c>
      <c r="K31" s="46" t="s">
        <v>14</v>
      </c>
    </row>
    <row r="32" spans="1:15" ht="27" customHeight="1" x14ac:dyDescent="0.3">
      <c r="A32" s="109">
        <v>24</v>
      </c>
      <c r="B32" s="38" t="s">
        <v>99</v>
      </c>
      <c r="C32" s="38"/>
      <c r="D32" s="37">
        <f>C70</f>
        <v>2261111.8816917897</v>
      </c>
      <c r="E32" s="46"/>
      <c r="F32" s="46"/>
      <c r="G32" s="109">
        <v>24</v>
      </c>
      <c r="H32" s="38" t="s">
        <v>90</v>
      </c>
      <c r="I32" s="38"/>
      <c r="J32" s="37">
        <f>I70</f>
        <v>770313.62387584453</v>
      </c>
      <c r="K32" s="46"/>
    </row>
    <row r="33" spans="1:11" ht="14.55" customHeight="1" x14ac:dyDescent="0.3">
      <c r="B33" s="38"/>
      <c r="C33" s="38"/>
      <c r="D33" s="37"/>
      <c r="E33" s="46"/>
      <c r="F33" s="46"/>
      <c r="H33" s="38"/>
      <c r="I33" s="38"/>
      <c r="J33" s="37"/>
      <c r="K33" s="46"/>
    </row>
    <row r="34" spans="1:11" ht="14.55" customHeight="1" x14ac:dyDescent="0.3">
      <c r="A34" s="68" t="s">
        <v>91</v>
      </c>
      <c r="B34" s="68" t="s">
        <v>91</v>
      </c>
      <c r="C34" s="38"/>
      <c r="D34" s="37"/>
      <c r="E34" s="46"/>
      <c r="F34" s="46"/>
      <c r="G34" s="68" t="s">
        <v>91</v>
      </c>
      <c r="H34" s="68" t="s">
        <v>91</v>
      </c>
      <c r="I34" s="38"/>
      <c r="J34" s="37"/>
      <c r="K34" s="46"/>
    </row>
    <row r="35" spans="1:11" ht="49.2" customHeight="1" x14ac:dyDescent="0.3">
      <c r="A35" s="106" t="s">
        <v>174</v>
      </c>
      <c r="B35" s="119" t="str">
        <f>"Deferral balance at the end of the month, Rate of "&amp;TEXT(D25,"$0.00000")&amp;" to recover the October 2016 balance of "&amp;TEXT(C8,"$000,000")&amp;" over 12 months.  See page 2 of Attachment A for October 2016 balance calculation."</f>
        <v>Deferral balance at the end of the month, Rate of $0.04589 to recover the October 2016 balance of $5,470,378 over 12 months.  See page 2 of Attachment A for October 2016 balance calculation.</v>
      </c>
      <c r="C35" s="119"/>
      <c r="D35" s="119"/>
      <c r="E35" s="119"/>
      <c r="F35" s="46"/>
      <c r="G35" s="106" t="s">
        <v>174</v>
      </c>
      <c r="H35" s="119" t="str">
        <f>"Deferral balance at the end of the month, Rate of "&amp;TEXT(J25,"$0.00000")&amp;" to recover the October 2016 balance of "&amp;TEXT(I8,"$000,000")&amp;" over 12 months.  See page 4 of Attachment A for October 2016 balance calculation."</f>
        <v>Deferral balance at the end of the month, Rate of $0.03397 to recover the October 2016 balance of $1,786,769 over 12 months.  See page 4 of Attachment A for October 2016 balance calculation.</v>
      </c>
      <c r="I35" s="119"/>
      <c r="J35" s="119"/>
      <c r="K35" s="119"/>
    </row>
    <row r="36" spans="1:11" ht="32.4" customHeight="1" x14ac:dyDescent="0.3">
      <c r="A36" s="106" t="s">
        <v>175</v>
      </c>
      <c r="B36" s="119" t="s">
        <v>176</v>
      </c>
      <c r="C36" s="119"/>
      <c r="D36" s="119"/>
      <c r="E36" s="119"/>
      <c r="F36" s="46"/>
      <c r="G36" s="106" t="s">
        <v>175</v>
      </c>
      <c r="H36" s="119" t="s">
        <v>176</v>
      </c>
      <c r="I36" s="119"/>
      <c r="J36" s="119"/>
      <c r="K36" s="119"/>
    </row>
    <row r="37" spans="1:11" ht="15.6" customHeight="1" x14ac:dyDescent="0.3">
      <c r="B37" s="72" t="s">
        <v>97</v>
      </c>
      <c r="C37" s="108"/>
      <c r="D37" s="108"/>
      <c r="E37" s="108"/>
      <c r="F37" s="46"/>
      <c r="H37" s="72" t="s">
        <v>97</v>
      </c>
      <c r="I37" s="108"/>
      <c r="J37" s="108"/>
      <c r="K37" s="108"/>
    </row>
    <row r="38" spans="1:11" ht="18" customHeight="1" x14ac:dyDescent="0.3">
      <c r="A38" s="106" t="s">
        <v>177</v>
      </c>
      <c r="B38" s="120" t="s">
        <v>180</v>
      </c>
      <c r="C38" s="120"/>
      <c r="D38" s="120"/>
      <c r="E38" s="120"/>
      <c r="F38" s="46"/>
      <c r="G38" s="106" t="s">
        <v>177</v>
      </c>
      <c r="H38" s="120" t="s">
        <v>180</v>
      </c>
      <c r="I38" s="120"/>
      <c r="J38" s="120"/>
      <c r="K38" s="120"/>
    </row>
    <row r="39" spans="1:11" ht="18" customHeight="1" x14ac:dyDescent="0.3">
      <c r="A39" s="106" t="s">
        <v>178</v>
      </c>
      <c r="B39" s="120" t="s">
        <v>181</v>
      </c>
      <c r="C39" s="120"/>
      <c r="D39" s="120"/>
      <c r="E39" s="120"/>
      <c r="F39" s="46"/>
      <c r="G39" s="106" t="s">
        <v>178</v>
      </c>
      <c r="H39" s="120" t="s">
        <v>181</v>
      </c>
      <c r="I39" s="120"/>
      <c r="J39" s="120"/>
      <c r="K39" s="120"/>
    </row>
    <row r="40" spans="1:11" ht="18" customHeight="1" x14ac:dyDescent="0.3">
      <c r="A40" s="106" t="s">
        <v>179</v>
      </c>
      <c r="B40" s="120" t="s">
        <v>182</v>
      </c>
      <c r="C40" s="120"/>
      <c r="D40" s="120"/>
      <c r="E40" s="120"/>
      <c r="F40" s="46"/>
      <c r="G40" s="106" t="s">
        <v>179</v>
      </c>
      <c r="H40" s="120" t="s">
        <v>193</v>
      </c>
      <c r="I40" s="120"/>
      <c r="J40" s="120"/>
      <c r="K40" s="120"/>
    </row>
    <row r="41" spans="1:11" x14ac:dyDescent="0.3">
      <c r="B41" s="38"/>
      <c r="C41" s="38"/>
      <c r="D41" s="37"/>
      <c r="E41" s="46"/>
      <c r="F41" s="46"/>
      <c r="H41" s="38"/>
      <c r="I41" s="38"/>
      <c r="J41" s="37"/>
      <c r="K41" s="46"/>
    </row>
    <row r="42" spans="1:11" ht="27.6" customHeight="1" x14ac:dyDescent="0.3">
      <c r="B42" s="121" t="str">
        <f>B5</f>
        <v>Residential Natural Gas</v>
      </c>
      <c r="C42" s="121"/>
      <c r="D42" s="121"/>
      <c r="E42" s="121"/>
      <c r="F42" s="35"/>
      <c r="H42" s="121" t="str">
        <f>H5</f>
        <v>Non-Residential Natural Gas</v>
      </c>
      <c r="I42" s="121"/>
      <c r="J42" s="121"/>
      <c r="K42" s="121"/>
    </row>
    <row r="43" spans="1:11" x14ac:dyDescent="0.3">
      <c r="A43" s="107"/>
      <c r="B43" s="116" t="s">
        <v>93</v>
      </c>
      <c r="C43" s="116"/>
      <c r="D43" s="116"/>
      <c r="E43" s="116"/>
      <c r="F43" s="38"/>
      <c r="G43" s="107"/>
      <c r="H43" s="116" t="s">
        <v>94</v>
      </c>
      <c r="I43" s="116"/>
      <c r="J43" s="116"/>
      <c r="K43" s="116"/>
    </row>
    <row r="44" spans="1:11" ht="28.8" x14ac:dyDescent="0.3">
      <c r="A44" s="107" t="s">
        <v>166</v>
      </c>
      <c r="B44" s="38"/>
      <c r="C44" s="35" t="s">
        <v>9</v>
      </c>
      <c r="D44" s="35" t="s">
        <v>4</v>
      </c>
      <c r="E44" s="44" t="s">
        <v>95</v>
      </c>
      <c r="F44" s="44"/>
      <c r="G44" s="107" t="s">
        <v>166</v>
      </c>
      <c r="H44" s="38"/>
      <c r="I44" s="35" t="s">
        <v>9</v>
      </c>
      <c r="J44" s="35" t="s">
        <v>4</v>
      </c>
      <c r="K44" s="44" t="s">
        <v>95</v>
      </c>
    </row>
    <row r="45" spans="1:11" ht="43.2" x14ac:dyDescent="0.3">
      <c r="B45" s="38"/>
      <c r="C45" s="38"/>
      <c r="D45" s="71" t="s">
        <v>162</v>
      </c>
      <c r="E45" s="38"/>
      <c r="F45" s="38"/>
      <c r="H45" s="38"/>
      <c r="I45" s="38"/>
      <c r="J45" s="71" t="str">
        <f>D45</f>
        <v>3.25% Q1 2016 3.46% Q2 2016  3.50% Q3 2016</v>
      </c>
      <c r="K45" s="38"/>
    </row>
    <row r="46" spans="1:11" x14ac:dyDescent="0.3">
      <c r="A46" s="109">
        <v>1</v>
      </c>
      <c r="B46" s="67">
        <v>42339</v>
      </c>
      <c r="C46" s="37">
        <f>5311558+5640</f>
        <v>5317198</v>
      </c>
      <c r="D46" s="38"/>
      <c r="E46" s="38"/>
      <c r="F46" s="38"/>
      <c r="G46" s="109">
        <v>1</v>
      </c>
      <c r="H46" s="67">
        <v>42339</v>
      </c>
      <c r="I46" s="37">
        <v>1736736</v>
      </c>
      <c r="J46" s="38"/>
      <c r="K46" s="38"/>
    </row>
    <row r="47" spans="1:11" x14ac:dyDescent="0.3">
      <c r="A47" s="109">
        <v>2</v>
      </c>
      <c r="B47" s="67" t="s">
        <v>104</v>
      </c>
      <c r="C47" s="37">
        <f>-'Earnings Test and 3% Test'!G33</f>
        <v>0</v>
      </c>
      <c r="D47" s="38"/>
      <c r="E47" s="38"/>
      <c r="F47" s="38"/>
      <c r="G47" s="109">
        <v>2</v>
      </c>
      <c r="H47" s="67" t="s">
        <v>104</v>
      </c>
      <c r="I47" s="37">
        <f>-'Earnings Test and 3% Test'!G34</f>
        <v>0</v>
      </c>
      <c r="J47" s="38"/>
      <c r="K47" s="38"/>
    </row>
    <row r="48" spans="1:11" x14ac:dyDescent="0.3">
      <c r="A48" s="109">
        <v>3</v>
      </c>
      <c r="B48" s="67" t="s">
        <v>105</v>
      </c>
      <c r="C48" s="37">
        <f>C46+C47</f>
        <v>5317198</v>
      </c>
      <c r="D48" s="38"/>
      <c r="E48" s="38"/>
      <c r="F48" s="38"/>
      <c r="G48" s="109">
        <v>3</v>
      </c>
      <c r="H48" s="67" t="s">
        <v>105</v>
      </c>
      <c r="I48" s="37">
        <f>I46+I47</f>
        <v>1736736</v>
      </c>
      <c r="J48" s="38"/>
      <c r="K48" s="38"/>
    </row>
    <row r="49" spans="1:11" x14ac:dyDescent="0.3">
      <c r="A49" s="109">
        <v>4</v>
      </c>
      <c r="B49" s="67">
        <v>42370</v>
      </c>
      <c r="C49" s="37">
        <f>C48+D49-E49</f>
        <v>5331598.7445833329</v>
      </c>
      <c r="D49" s="37">
        <f>(C46-E49/2)*0.0325/12</f>
        <v>14400.744583333333</v>
      </c>
      <c r="E49" s="38"/>
      <c r="F49" s="38"/>
      <c r="G49" s="109">
        <v>4</v>
      </c>
      <c r="H49" s="67">
        <v>42370</v>
      </c>
      <c r="I49" s="37">
        <f>I48+J49-K49</f>
        <v>1741439.66</v>
      </c>
      <c r="J49" s="37">
        <f>(I46-K49/2)*0.0325/12</f>
        <v>4703.6600000000008</v>
      </c>
      <c r="K49" s="38"/>
    </row>
    <row r="50" spans="1:11" x14ac:dyDescent="0.3">
      <c r="A50" s="109">
        <v>5</v>
      </c>
      <c r="B50" s="67">
        <v>42401</v>
      </c>
      <c r="C50" s="37">
        <f t="shared" ref="C50:C58" si="4">C49+D50-E50</f>
        <v>5346038.4911832465</v>
      </c>
      <c r="D50" s="37">
        <f t="shared" ref="D50:D51" si="5">(C49-E50/2)*0.0325/12</f>
        <v>14439.746599913195</v>
      </c>
      <c r="E50" s="38"/>
      <c r="F50" s="38"/>
      <c r="G50" s="109">
        <v>5</v>
      </c>
      <c r="H50" s="67">
        <v>42401</v>
      </c>
      <c r="I50" s="37">
        <f t="shared" ref="I50:I70" si="6">I49+J50-K50</f>
        <v>1746156.0590791665</v>
      </c>
      <c r="J50" s="37">
        <f t="shared" ref="J50:J51" si="7">(I49-K50/2)*0.0325/12</f>
        <v>4716.3990791666665</v>
      </c>
      <c r="K50" s="38"/>
    </row>
    <row r="51" spans="1:11" x14ac:dyDescent="0.3">
      <c r="A51" s="109">
        <v>6</v>
      </c>
      <c r="B51" s="67">
        <v>42430</v>
      </c>
      <c r="C51" s="37">
        <f t="shared" si="4"/>
        <v>5360517.3454302009</v>
      </c>
      <c r="D51" s="37">
        <f t="shared" si="5"/>
        <v>14478.854246954625</v>
      </c>
      <c r="E51" s="38"/>
      <c r="F51" s="38"/>
      <c r="G51" s="109">
        <v>6</v>
      </c>
      <c r="H51" s="67">
        <v>42430</v>
      </c>
      <c r="I51" s="37">
        <f t="shared" si="6"/>
        <v>1750885.2317391725</v>
      </c>
      <c r="J51" s="37">
        <f t="shared" si="7"/>
        <v>4729.1726600060765</v>
      </c>
      <c r="K51" s="38"/>
    </row>
    <row r="52" spans="1:11" x14ac:dyDescent="0.3">
      <c r="A52" s="109">
        <v>7</v>
      </c>
      <c r="B52" s="67">
        <v>42461</v>
      </c>
      <c r="C52" s="37">
        <f t="shared" si="4"/>
        <v>5375973.5037761917</v>
      </c>
      <c r="D52" s="37">
        <f>(C51-E52/2)*0.0346/12</f>
        <v>15456.158345990412</v>
      </c>
      <c r="E52" s="38"/>
      <c r="F52" s="38"/>
      <c r="G52" s="109">
        <v>7</v>
      </c>
      <c r="H52" s="67">
        <v>42461</v>
      </c>
      <c r="I52" s="37">
        <f t="shared" si="6"/>
        <v>1755933.6174906872</v>
      </c>
      <c r="J52" s="37">
        <f>(I51-K52/2)*0.0346/12</f>
        <v>5048.3857515146137</v>
      </c>
      <c r="K52" s="38"/>
    </row>
    <row r="53" spans="1:11" x14ac:dyDescent="0.3">
      <c r="A53" s="109">
        <v>8</v>
      </c>
      <c r="B53" s="67">
        <v>42491</v>
      </c>
      <c r="C53" s="37">
        <f t="shared" si="4"/>
        <v>5391474.2273787465</v>
      </c>
      <c r="D53" s="37">
        <f t="shared" ref="D53:D54" si="8">(C52-E53/2)*0.0346/12</f>
        <v>15500.723602554686</v>
      </c>
      <c r="E53" s="38"/>
      <c r="F53" s="38"/>
      <c r="G53" s="109">
        <v>8</v>
      </c>
      <c r="H53" s="67">
        <v>42491</v>
      </c>
      <c r="I53" s="37">
        <f t="shared" si="6"/>
        <v>1760996.5594211186</v>
      </c>
      <c r="J53" s="37">
        <f t="shared" ref="J53:J54" si="9">(I52-K53/2)*0.0346/12</f>
        <v>5062.9419304314806</v>
      </c>
      <c r="K53" s="38"/>
    </row>
    <row r="54" spans="1:11" x14ac:dyDescent="0.3">
      <c r="A54" s="109">
        <v>9</v>
      </c>
      <c r="B54" s="67">
        <v>42522</v>
      </c>
      <c r="C54" s="37">
        <f t="shared" si="4"/>
        <v>5407019.6447343556</v>
      </c>
      <c r="D54" s="37">
        <f t="shared" si="8"/>
        <v>15545.417355608719</v>
      </c>
      <c r="E54" s="38"/>
      <c r="F54" s="38"/>
      <c r="G54" s="109">
        <v>9</v>
      </c>
      <c r="H54" s="67">
        <v>42522</v>
      </c>
      <c r="I54" s="37">
        <f t="shared" si="6"/>
        <v>1766074.0995007828</v>
      </c>
      <c r="J54" s="37">
        <f t="shared" si="9"/>
        <v>5077.5400796642252</v>
      </c>
      <c r="K54" s="38"/>
    </row>
    <row r="55" spans="1:11" x14ac:dyDescent="0.3">
      <c r="A55" s="109">
        <v>10</v>
      </c>
      <c r="B55" s="67">
        <v>42552</v>
      </c>
      <c r="C55" s="37">
        <f t="shared" si="4"/>
        <v>5422790.1186981639</v>
      </c>
      <c r="D55" s="37">
        <f>(C54-E55/2)*0.035/12</f>
        <v>15770.473963808538</v>
      </c>
      <c r="E55" s="38"/>
      <c r="F55" s="38"/>
      <c r="G55" s="109">
        <v>10</v>
      </c>
      <c r="H55" s="67">
        <v>42552</v>
      </c>
      <c r="I55" s="37">
        <f t="shared" si="6"/>
        <v>1771225.14895766</v>
      </c>
      <c r="J55" s="37">
        <f>(I54-K55/2)*0.035/12</f>
        <v>5151.0494568772838</v>
      </c>
      <c r="K55" s="38"/>
    </row>
    <row r="56" spans="1:11" x14ac:dyDescent="0.3">
      <c r="A56" s="109">
        <v>11</v>
      </c>
      <c r="B56" s="67">
        <v>42583</v>
      </c>
      <c r="C56" s="37">
        <f t="shared" si="4"/>
        <v>5438606.5898777004</v>
      </c>
      <c r="D56" s="37">
        <f t="shared" ref="D56:D70" si="10">(C55-E56/2)*0.035/12</f>
        <v>15816.471179536313</v>
      </c>
      <c r="E56" s="38"/>
      <c r="F56" s="38"/>
      <c r="G56" s="109">
        <v>11</v>
      </c>
      <c r="H56" s="67">
        <v>42583</v>
      </c>
      <c r="I56" s="37">
        <f t="shared" si="6"/>
        <v>1776391.2223087864</v>
      </c>
      <c r="J56" s="37">
        <f t="shared" ref="J56:J70" si="11">(I55-K56/2)*0.035/12</f>
        <v>5166.0733511265089</v>
      </c>
      <c r="K56" s="38"/>
    </row>
    <row r="57" spans="1:11" x14ac:dyDescent="0.3">
      <c r="A57" s="109">
        <v>12</v>
      </c>
      <c r="B57" s="67">
        <v>42614</v>
      </c>
      <c r="C57" s="37">
        <f t="shared" si="4"/>
        <v>5454469.1924315104</v>
      </c>
      <c r="D57" s="37">
        <f t="shared" si="10"/>
        <v>15862.602553809962</v>
      </c>
      <c r="E57" s="38"/>
      <c r="F57" s="38"/>
      <c r="G57" s="109">
        <v>12</v>
      </c>
      <c r="H57" s="67">
        <v>42614</v>
      </c>
      <c r="I57" s="37">
        <f t="shared" si="6"/>
        <v>1781572.3633738537</v>
      </c>
      <c r="J57" s="37">
        <f t="shared" si="11"/>
        <v>5181.1410650672942</v>
      </c>
      <c r="K57" s="38"/>
    </row>
    <row r="58" spans="1:11" x14ac:dyDescent="0.3">
      <c r="A58" s="109">
        <v>13</v>
      </c>
      <c r="B58" s="69">
        <v>42644</v>
      </c>
      <c r="C58" s="70">
        <f t="shared" si="4"/>
        <v>5470378.0609094361</v>
      </c>
      <c r="D58" s="37">
        <f t="shared" si="10"/>
        <v>15908.868477925242</v>
      </c>
      <c r="E58" s="38"/>
      <c r="F58" s="38"/>
      <c r="G58" s="109">
        <v>13</v>
      </c>
      <c r="H58" s="69">
        <v>42644</v>
      </c>
      <c r="I58" s="70">
        <f t="shared" si="6"/>
        <v>1786768.6161003609</v>
      </c>
      <c r="J58" s="37">
        <f t="shared" si="11"/>
        <v>5196.2527265070739</v>
      </c>
      <c r="K58" s="38"/>
    </row>
    <row r="59" spans="1:11" x14ac:dyDescent="0.3">
      <c r="A59" s="109">
        <v>14</v>
      </c>
      <c r="B59" s="67">
        <v>42675</v>
      </c>
      <c r="C59" s="37">
        <f>C58+D59-E59</f>
        <v>5086191.1685926933</v>
      </c>
      <c r="D59" s="37">
        <f t="shared" si="10"/>
        <v>15372.578449451823</v>
      </c>
      <c r="E59" s="37">
        <f>E9*D$31</f>
        <v>399559.47076619457</v>
      </c>
      <c r="F59" s="37"/>
      <c r="G59" s="109">
        <v>14</v>
      </c>
      <c r="H59" s="67">
        <v>42675</v>
      </c>
      <c r="I59" s="37">
        <f t="shared" si="6"/>
        <v>1662288.7347775146</v>
      </c>
      <c r="J59" s="37">
        <f t="shared" si="11"/>
        <v>5022.5507501862139</v>
      </c>
      <c r="K59" s="37">
        <f>K9*J$31</f>
        <v>129502.43207303257</v>
      </c>
    </row>
    <row r="60" spans="1:11" x14ac:dyDescent="0.3">
      <c r="A60" s="109">
        <v>15</v>
      </c>
      <c r="B60" s="67">
        <v>42705</v>
      </c>
      <c r="C60" s="37">
        <f t="shared" ref="C60:C70" si="12">C59+D60-E60</f>
        <v>4521334.3268776219</v>
      </c>
      <c r="D60" s="37">
        <f t="shared" si="10"/>
        <v>13990.571763738759</v>
      </c>
      <c r="E60" s="37">
        <f t="shared" ref="E60:E70" si="13">E10*D$31</f>
        <v>578847.41347881011</v>
      </c>
      <c r="F60" s="37"/>
      <c r="G60" s="109">
        <v>15</v>
      </c>
      <c r="H60" s="67">
        <v>42705</v>
      </c>
      <c r="I60" s="37">
        <f t="shared" si="6"/>
        <v>1508055.0126129519</v>
      </c>
      <c r="J60" s="37">
        <f t="shared" si="11"/>
        <v>4616.685298883559</v>
      </c>
      <c r="K60" s="37">
        <f t="shared" ref="K60:K70" si="14">K10*J$31</f>
        <v>158850.40746344623</v>
      </c>
    </row>
    <row r="61" spans="1:11" ht="14.4" customHeight="1" x14ac:dyDescent="0.3">
      <c r="A61" s="109">
        <v>16</v>
      </c>
      <c r="B61" s="67">
        <v>42736</v>
      </c>
      <c r="C61" s="37">
        <f t="shared" si="12"/>
        <v>3934686.8012459762</v>
      </c>
      <c r="D61" s="37">
        <f t="shared" si="10"/>
        <v>12313.739941099479</v>
      </c>
      <c r="E61" s="37">
        <f t="shared" si="13"/>
        <v>598961.26557274524</v>
      </c>
      <c r="F61" s="37"/>
      <c r="G61" s="109">
        <v>16</v>
      </c>
      <c r="H61" s="67">
        <v>42736</v>
      </c>
      <c r="I61" s="37">
        <f t="shared" si="6"/>
        <v>1353347.1270881537</v>
      </c>
      <c r="J61" s="37">
        <f t="shared" si="11"/>
        <v>4166.801534825825</v>
      </c>
      <c r="K61" s="37">
        <f t="shared" si="14"/>
        <v>158874.68705962412</v>
      </c>
    </row>
    <row r="62" spans="1:11" x14ac:dyDescent="0.3">
      <c r="A62" s="109">
        <v>17</v>
      </c>
      <c r="B62" s="67">
        <v>42767</v>
      </c>
      <c r="C62" s="37">
        <f t="shared" si="12"/>
        <v>3457977.9393905592</v>
      </c>
      <c r="D62" s="37">
        <f t="shared" si="10"/>
        <v>10765.270061255616</v>
      </c>
      <c r="E62" s="37">
        <f t="shared" si="13"/>
        <v>487474.13191667252</v>
      </c>
      <c r="F62" s="37"/>
      <c r="G62" s="109">
        <v>17</v>
      </c>
      <c r="H62" s="67">
        <v>42767</v>
      </c>
      <c r="I62" s="37">
        <f t="shared" si="6"/>
        <v>1223770.2701560538</v>
      </c>
      <c r="J62" s="37">
        <f t="shared" si="11"/>
        <v>3752.8233369480872</v>
      </c>
      <c r="K62" s="37">
        <f t="shared" si="14"/>
        <v>133329.68026904805</v>
      </c>
    </row>
    <row r="63" spans="1:11" x14ac:dyDescent="0.3">
      <c r="A63" s="109">
        <v>18</v>
      </c>
      <c r="B63" s="67">
        <v>42795</v>
      </c>
      <c r="C63" s="37">
        <f t="shared" si="12"/>
        <v>3054220.4104890102</v>
      </c>
      <c r="D63" s="37">
        <f t="shared" si="10"/>
        <v>9483.1263676215913</v>
      </c>
      <c r="E63" s="37">
        <f t="shared" si="13"/>
        <v>413240.65526917059</v>
      </c>
      <c r="F63" s="37"/>
      <c r="G63" s="109">
        <v>18</v>
      </c>
      <c r="H63" s="67">
        <v>42795</v>
      </c>
      <c r="I63" s="37">
        <f t="shared" si="6"/>
        <v>1113406.1837289967</v>
      </c>
      <c r="J63" s="37">
        <f t="shared" si="11"/>
        <v>3403.4190091939581</v>
      </c>
      <c r="K63" s="37">
        <f t="shared" si="14"/>
        <v>113767.5054362511</v>
      </c>
    </row>
    <row r="64" spans="1:11" x14ac:dyDescent="0.3">
      <c r="A64" s="109">
        <v>19</v>
      </c>
      <c r="B64" s="67">
        <v>42826</v>
      </c>
      <c r="C64" s="37">
        <f t="shared" si="12"/>
        <v>2815654.0279191718</v>
      </c>
      <c r="D64" s="37">
        <f t="shared" si="10"/>
        <v>8547.7680609230865</v>
      </c>
      <c r="E64" s="37">
        <f t="shared" si="13"/>
        <v>247114.15063076123</v>
      </c>
      <c r="F64" s="37"/>
      <c r="G64" s="109">
        <v>19</v>
      </c>
      <c r="H64" s="67">
        <v>42826</v>
      </c>
      <c r="I64" s="37">
        <f t="shared" si="6"/>
        <v>1042272.2148554473</v>
      </c>
      <c r="J64" s="37">
        <f t="shared" si="11"/>
        <v>3139.1197815874989</v>
      </c>
      <c r="K64" s="37">
        <f t="shared" si="14"/>
        <v>74273.088655136831</v>
      </c>
    </row>
    <row r="65" spans="1:11" x14ac:dyDescent="0.3">
      <c r="A65" s="109">
        <v>20</v>
      </c>
      <c r="B65" s="67">
        <v>42856</v>
      </c>
      <c r="C65" s="37">
        <f t="shared" si="12"/>
        <v>2686572.1820264547</v>
      </c>
      <c r="D65" s="37">
        <f t="shared" si="10"/>
        <v>8012.3951465819409</v>
      </c>
      <c r="E65" s="37">
        <f t="shared" si="13"/>
        <v>137094.24103929912</v>
      </c>
      <c r="F65" s="37"/>
      <c r="G65" s="109">
        <v>20</v>
      </c>
      <c r="H65" s="67">
        <v>42856</v>
      </c>
      <c r="I65" s="37">
        <f t="shared" si="6"/>
        <v>998010.3751965689</v>
      </c>
      <c r="J65" s="37">
        <f t="shared" si="11"/>
        <v>2971.0792865329968</v>
      </c>
      <c r="K65" s="37">
        <f t="shared" si="14"/>
        <v>47232.918945411351</v>
      </c>
    </row>
    <row r="66" spans="1:11" x14ac:dyDescent="0.3">
      <c r="A66" s="109">
        <v>21</v>
      </c>
      <c r="B66" s="67">
        <v>42887</v>
      </c>
      <c r="C66" s="37">
        <f t="shared" si="12"/>
        <v>2615315.0862431489</v>
      </c>
      <c r="D66" s="37">
        <f t="shared" si="10"/>
        <v>7720.6596375883564</v>
      </c>
      <c r="E66" s="37">
        <f t="shared" si="13"/>
        <v>78977.755420894377</v>
      </c>
      <c r="F66" s="37"/>
      <c r="G66" s="109">
        <v>21</v>
      </c>
      <c r="H66" s="67">
        <v>42887</v>
      </c>
      <c r="I66" s="37">
        <f t="shared" si="6"/>
        <v>965753.69964280957</v>
      </c>
      <c r="J66" s="37">
        <f t="shared" si="11"/>
        <v>2859.6522828948723</v>
      </c>
      <c r="K66" s="37">
        <f t="shared" si="14"/>
        <v>35116.327836654149</v>
      </c>
    </row>
    <row r="67" spans="1:11" x14ac:dyDescent="0.3">
      <c r="A67" s="109">
        <v>22</v>
      </c>
      <c r="B67" s="67">
        <v>42917</v>
      </c>
      <c r="C67" s="37">
        <f t="shared" si="12"/>
        <v>2561283.5138539542</v>
      </c>
      <c r="D67" s="37">
        <f t="shared" si="10"/>
        <v>7538.21306442266</v>
      </c>
      <c r="E67" s="37">
        <f t="shared" si="13"/>
        <v>61569.785453617413</v>
      </c>
      <c r="F67" s="37"/>
      <c r="G67" s="109">
        <v>22</v>
      </c>
      <c r="H67" s="67">
        <v>42917</v>
      </c>
      <c r="I67" s="37">
        <f t="shared" si="6"/>
        <v>934225.07004329388</v>
      </c>
      <c r="J67" s="37">
        <f t="shared" si="11"/>
        <v>2766.7675031834256</v>
      </c>
      <c r="K67" s="37">
        <f t="shared" si="14"/>
        <v>34295.397102699142</v>
      </c>
    </row>
    <row r="68" spans="1:11" x14ac:dyDescent="0.3">
      <c r="A68" s="109">
        <v>23</v>
      </c>
      <c r="B68" s="67">
        <v>42948</v>
      </c>
      <c r="C68" s="37">
        <f t="shared" si="12"/>
        <v>2513130.1807628665</v>
      </c>
      <c r="D68" s="37">
        <f t="shared" si="10"/>
        <v>7389.4104144617741</v>
      </c>
      <c r="E68" s="37">
        <f t="shared" si="13"/>
        <v>55542.743505549559</v>
      </c>
      <c r="F68" s="37"/>
      <c r="G68" s="109">
        <v>23</v>
      </c>
      <c r="H68" s="67">
        <v>42948</v>
      </c>
      <c r="I68" s="37">
        <f t="shared" si="6"/>
        <v>900959.52519734844</v>
      </c>
      <c r="J68" s="37">
        <f t="shared" si="11"/>
        <v>2672.4135982285202</v>
      </c>
      <c r="K68" s="37">
        <f t="shared" si="14"/>
        <v>35937.958444173943</v>
      </c>
    </row>
    <row r="69" spans="1:11" x14ac:dyDescent="0.3">
      <c r="A69" s="109">
        <v>24</v>
      </c>
      <c r="B69" s="67">
        <v>42979</v>
      </c>
      <c r="C69" s="37">
        <f t="shared" si="12"/>
        <v>2450245.4109304245</v>
      </c>
      <c r="D69" s="37">
        <f t="shared" si="10"/>
        <v>7227.715652559401</v>
      </c>
      <c r="E69" s="37">
        <f t="shared" si="13"/>
        <v>70112.485485001438</v>
      </c>
      <c r="F69" s="37"/>
      <c r="G69" s="109">
        <v>24</v>
      </c>
      <c r="H69" s="67">
        <v>42979</v>
      </c>
      <c r="I69" s="37">
        <f t="shared" si="6"/>
        <v>859553.17039067298</v>
      </c>
      <c r="J69" s="37">
        <f t="shared" si="11"/>
        <v>2563.6756540703454</v>
      </c>
      <c r="K69" s="37">
        <f t="shared" si="14"/>
        <v>43970.030460745766</v>
      </c>
    </row>
    <row r="70" spans="1:11" x14ac:dyDescent="0.3">
      <c r="A70" s="109">
        <v>25</v>
      </c>
      <c r="B70" s="69">
        <v>43009</v>
      </c>
      <c r="C70" s="70">
        <f t="shared" si="12"/>
        <v>2261111.8816917897</v>
      </c>
      <c r="D70" s="37">
        <f t="shared" si="10"/>
        <v>6860.7241623373202</v>
      </c>
      <c r="E70" s="37">
        <f t="shared" si="13"/>
        <v>195994.25340097229</v>
      </c>
      <c r="F70" s="37"/>
      <c r="G70" s="109">
        <v>25</v>
      </c>
      <c r="H70" s="69">
        <v>43009</v>
      </c>
      <c r="I70" s="70">
        <f t="shared" si="6"/>
        <v>770313.62387584453</v>
      </c>
      <c r="J70" s="37">
        <f t="shared" si="11"/>
        <v>2373.4278260590022</v>
      </c>
      <c r="K70" s="37">
        <f t="shared" si="14"/>
        <v>91612.974340887449</v>
      </c>
    </row>
    <row r="71" spans="1:11" x14ac:dyDescent="0.3">
      <c r="B71" s="38"/>
      <c r="C71" s="38"/>
      <c r="D71" s="38"/>
      <c r="E71" s="38"/>
      <c r="F71" s="38"/>
      <c r="H71" s="38"/>
      <c r="I71" s="38"/>
      <c r="J71" s="38"/>
      <c r="K71" s="38"/>
    </row>
    <row r="72" spans="1:11" x14ac:dyDescent="0.3">
      <c r="A72" s="109">
        <v>26</v>
      </c>
      <c r="B72" s="42" t="s">
        <v>167</v>
      </c>
      <c r="C72" s="38"/>
      <c r="D72" s="37">
        <f>SUM(D49:D71)</f>
        <v>268402.23363147682</v>
      </c>
      <c r="E72" s="37">
        <f>SUM(E59:E70)</f>
        <v>3324488.3519396884</v>
      </c>
      <c r="F72" s="38"/>
      <c r="G72" s="109">
        <v>26</v>
      </c>
      <c r="H72" s="42" t="s">
        <v>167</v>
      </c>
      <c r="I72" s="38"/>
      <c r="J72" s="37">
        <f>SUM(J49:J71)</f>
        <v>90341.031962955531</v>
      </c>
      <c r="K72" s="37">
        <f>SUM(K59:K70)</f>
        <v>1056763.4080871106</v>
      </c>
    </row>
    <row r="73" spans="1:11" x14ac:dyDescent="0.3">
      <c r="A73" s="109"/>
      <c r="B73" s="42"/>
      <c r="C73" s="38"/>
      <c r="D73" s="38"/>
      <c r="E73" s="38"/>
      <c r="F73" s="38"/>
      <c r="G73" s="109"/>
      <c r="H73" s="42"/>
      <c r="I73" s="38"/>
      <c r="J73" s="38"/>
      <c r="K73" s="38"/>
    </row>
    <row r="74" spans="1:11" x14ac:dyDescent="0.3">
      <c r="B74" s="57" t="s">
        <v>173</v>
      </c>
      <c r="H74" s="57" t="s">
        <v>173</v>
      </c>
    </row>
    <row r="75" spans="1:11" x14ac:dyDescent="0.3">
      <c r="A75" s="109">
        <v>27</v>
      </c>
      <c r="B75" t="s">
        <v>168</v>
      </c>
      <c r="C75" s="104">
        <f>C46</f>
        <v>5317198</v>
      </c>
      <c r="G75" s="109">
        <v>27</v>
      </c>
      <c r="H75" t="s">
        <v>168</v>
      </c>
      <c r="I75" s="104">
        <f>I46</f>
        <v>1736736</v>
      </c>
    </row>
    <row r="76" spans="1:11" x14ac:dyDescent="0.3">
      <c r="A76" s="109">
        <v>28</v>
      </c>
      <c r="B76" t="s">
        <v>169</v>
      </c>
      <c r="C76" s="104">
        <f>C47</f>
        <v>0</v>
      </c>
      <c r="G76" s="109">
        <v>28</v>
      </c>
      <c r="H76" t="s">
        <v>169</v>
      </c>
      <c r="I76" s="104">
        <f>I47</f>
        <v>0</v>
      </c>
    </row>
    <row r="77" spans="1:11" x14ac:dyDescent="0.3">
      <c r="A77" s="109">
        <v>29</v>
      </c>
      <c r="B77" t="s">
        <v>184</v>
      </c>
      <c r="C77" s="104">
        <f>D72</f>
        <v>268402.23363147682</v>
      </c>
      <c r="G77" s="109">
        <v>29</v>
      </c>
      <c r="H77" t="s">
        <v>184</v>
      </c>
      <c r="I77" s="104">
        <f>J72</f>
        <v>90341.031962955531</v>
      </c>
    </row>
    <row r="78" spans="1:11" x14ac:dyDescent="0.3">
      <c r="A78" s="109">
        <v>30</v>
      </c>
      <c r="B78" t="s">
        <v>187</v>
      </c>
      <c r="C78" s="104">
        <f>(D30-D31)*E22</f>
        <v>164496.01741401103</v>
      </c>
      <c r="G78" s="109">
        <v>30</v>
      </c>
      <c r="H78" t="s">
        <v>187</v>
      </c>
      <c r="I78" s="104">
        <f>(J30-J31)*K22</f>
        <v>52075.449179006515</v>
      </c>
    </row>
    <row r="79" spans="1:11" x14ac:dyDescent="0.3">
      <c r="A79" s="109">
        <v>31</v>
      </c>
      <c r="B79" t="s">
        <v>185</v>
      </c>
      <c r="C79" s="105">
        <f>SUM(C75:C78)</f>
        <v>5750096.2510454878</v>
      </c>
      <c r="G79" s="109">
        <v>31</v>
      </c>
      <c r="H79" t="s">
        <v>185</v>
      </c>
      <c r="I79" s="105">
        <f>SUM(I75:I78)</f>
        <v>1879152.4811419621</v>
      </c>
    </row>
    <row r="80" spans="1:11" x14ac:dyDescent="0.3">
      <c r="A80" s="109">
        <v>32</v>
      </c>
      <c r="B80" t="s">
        <v>170</v>
      </c>
      <c r="C80" s="104">
        <f>D30*E22</f>
        <v>3488984.3693536995</v>
      </c>
      <c r="G80" s="109">
        <v>32</v>
      </c>
      <c r="H80" t="s">
        <v>170</v>
      </c>
      <c r="I80" s="104">
        <f>J30*K22</f>
        <v>1108838.8572661171</v>
      </c>
    </row>
    <row r="81" spans="1:9" x14ac:dyDescent="0.3">
      <c r="A81" s="109">
        <v>33</v>
      </c>
      <c r="B81" t="s">
        <v>171</v>
      </c>
      <c r="C81" s="104">
        <f>C79-C80</f>
        <v>2261111.8816917883</v>
      </c>
      <c r="G81" s="109">
        <v>33</v>
      </c>
      <c r="H81" t="s">
        <v>171</v>
      </c>
      <c r="I81" s="104">
        <f>I79-I80</f>
        <v>770313.62387584499</v>
      </c>
    </row>
  </sheetData>
  <customSheetViews>
    <customSheetView guid="{6A207E9B-31ED-4215-AD4F-ABB2957B65E4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5C6B1FA1-B621-4699-B8F7-5011E8FF1BCD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0">
    <mergeCell ref="B40:E40"/>
    <mergeCell ref="H40:K40"/>
    <mergeCell ref="B42:E42"/>
    <mergeCell ref="H42:K42"/>
    <mergeCell ref="B43:E43"/>
    <mergeCell ref="H43:K43"/>
    <mergeCell ref="B36:E36"/>
    <mergeCell ref="H36:K36"/>
    <mergeCell ref="B38:E38"/>
    <mergeCell ref="H38:K38"/>
    <mergeCell ref="B39:E39"/>
    <mergeCell ref="H39:K39"/>
    <mergeCell ref="B26:C26"/>
    <mergeCell ref="H26:I26"/>
    <mergeCell ref="B27:C27"/>
    <mergeCell ref="H27:I27"/>
    <mergeCell ref="B35:E35"/>
    <mergeCell ref="H35:K35"/>
    <mergeCell ref="B5:E5"/>
    <mergeCell ref="H5:K5"/>
    <mergeCell ref="B24:C24"/>
    <mergeCell ref="H24:I24"/>
    <mergeCell ref="B25:C25"/>
    <mergeCell ref="H25:I25"/>
    <mergeCell ref="B1:E1"/>
    <mergeCell ref="H1:K1"/>
    <mergeCell ref="B2:E2"/>
    <mergeCell ref="H2:K2"/>
    <mergeCell ref="B3:E3"/>
    <mergeCell ref="H3:K3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7</oddFooter>
  </headerFooter>
  <rowBreaks count="1" manualBreakCount="1">
    <brk id="41" max="11" man="1"/>
  </rowBreaks>
  <colBreaks count="1" manualBreakCount="1">
    <brk id="6" max="8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K81"/>
  <sheetViews>
    <sheetView topLeftCell="A30" zoomScaleNormal="100" workbookViewId="0">
      <selection activeCell="A43" sqref="A43"/>
    </sheetView>
  </sheetViews>
  <sheetFormatPr defaultRowHeight="14.4" x14ac:dyDescent="0.3"/>
  <cols>
    <col min="1" max="1" width="4.5546875" customWidth="1"/>
    <col min="2" max="2" width="27.88671875" customWidth="1"/>
    <col min="3" max="3" width="16.88671875" customWidth="1"/>
    <col min="4" max="4" width="16" customWidth="1"/>
    <col min="5" max="5" width="16.77734375" customWidth="1"/>
    <col min="6" max="6" width="2.21875" customWidth="1"/>
    <col min="7" max="7" width="4.88671875" customWidth="1"/>
    <col min="8" max="8" width="28" customWidth="1"/>
    <col min="9" max="9" width="18" customWidth="1"/>
    <col min="10" max="10" width="16.21875" customWidth="1"/>
    <col min="11" max="11" width="16.77734375" customWidth="1"/>
    <col min="12" max="12" width="2.21875" customWidth="1"/>
    <col min="13" max="14" width="11.6640625" customWidth="1"/>
    <col min="15" max="15" width="10.44140625" customWidth="1"/>
    <col min="16" max="16" width="12.6640625" customWidth="1"/>
  </cols>
  <sheetData>
    <row r="1" spans="1:11" x14ac:dyDescent="0.3">
      <c r="B1" s="115" t="s">
        <v>0</v>
      </c>
      <c r="C1" s="115"/>
      <c r="D1" s="115"/>
      <c r="E1" s="115"/>
      <c r="F1" s="66"/>
      <c r="G1" s="66"/>
      <c r="H1" s="115" t="s">
        <v>0</v>
      </c>
      <c r="I1" s="115"/>
      <c r="J1" s="115"/>
      <c r="K1" s="115"/>
    </row>
    <row r="2" spans="1:11" x14ac:dyDescent="0.3">
      <c r="B2" s="115" t="s">
        <v>1</v>
      </c>
      <c r="C2" s="115"/>
      <c r="D2" s="115"/>
      <c r="E2" s="115"/>
      <c r="F2" s="66"/>
      <c r="G2" s="66"/>
      <c r="H2" s="115" t="s">
        <v>1</v>
      </c>
      <c r="I2" s="115"/>
      <c r="J2" s="115"/>
      <c r="K2" s="115"/>
    </row>
    <row r="3" spans="1:11" x14ac:dyDescent="0.3">
      <c r="B3" s="115" t="s">
        <v>2</v>
      </c>
      <c r="C3" s="115"/>
      <c r="D3" s="115"/>
      <c r="E3" s="115"/>
      <c r="F3" s="66"/>
      <c r="G3" s="66"/>
      <c r="H3" s="115" t="s">
        <v>2</v>
      </c>
      <c r="I3" s="115"/>
      <c r="J3" s="115"/>
      <c r="K3" s="115"/>
    </row>
    <row r="5" spans="1:11" x14ac:dyDescent="0.3">
      <c r="B5" s="116" t="s">
        <v>52</v>
      </c>
      <c r="C5" s="116"/>
      <c r="D5" s="116"/>
      <c r="E5" s="116"/>
      <c r="F5" s="75"/>
      <c r="G5" s="38"/>
      <c r="H5" s="116" t="s">
        <v>53</v>
      </c>
      <c r="I5" s="116"/>
      <c r="J5" s="116"/>
      <c r="K5" s="116"/>
    </row>
    <row r="6" spans="1:11" ht="29.4" customHeight="1" x14ac:dyDescent="0.3">
      <c r="A6" s="96" t="s">
        <v>166</v>
      </c>
      <c r="B6" s="74" t="s">
        <v>3</v>
      </c>
      <c r="C6" s="74" t="s">
        <v>7</v>
      </c>
      <c r="D6" s="74" t="s">
        <v>8</v>
      </c>
      <c r="E6" s="91" t="s">
        <v>183</v>
      </c>
      <c r="F6" s="74"/>
      <c r="G6" s="96" t="s">
        <v>166</v>
      </c>
      <c r="H6" s="74" t="s">
        <v>3</v>
      </c>
      <c r="I6" s="74" t="s">
        <v>7</v>
      </c>
      <c r="J6" s="74" t="s">
        <v>8</v>
      </c>
      <c r="K6" s="91" t="s">
        <v>183</v>
      </c>
    </row>
    <row r="7" spans="1:11" x14ac:dyDescent="0.3">
      <c r="A7" s="97">
        <v>1</v>
      </c>
      <c r="B7" s="74"/>
      <c r="C7" s="95">
        <f>ROUND(C8/E22,5)</f>
        <v>2.8E-3</v>
      </c>
      <c r="D7" s="36">
        <v>3.5000000000000003E-2</v>
      </c>
      <c r="E7" s="74"/>
      <c r="F7" s="74"/>
      <c r="G7" s="97">
        <v>1</v>
      </c>
      <c r="H7" s="74"/>
      <c r="I7" s="74">
        <f>ROUND(I8/K22,5)</f>
        <v>-1.3500000000000001E-3</v>
      </c>
      <c r="J7" s="36">
        <f>D7</f>
        <v>3.5000000000000003E-2</v>
      </c>
      <c r="K7" s="74"/>
    </row>
    <row r="8" spans="1:11" x14ac:dyDescent="0.3">
      <c r="A8" s="97">
        <v>2</v>
      </c>
      <c r="B8" s="67">
        <v>42644</v>
      </c>
      <c r="C8" s="37">
        <f>C58</f>
        <v>6915720.7141596982</v>
      </c>
      <c r="D8" s="37"/>
      <c r="E8" s="38"/>
      <c r="F8" s="38"/>
      <c r="G8" s="97">
        <v>2</v>
      </c>
      <c r="H8" s="67">
        <v>42644</v>
      </c>
      <c r="I8" s="37">
        <f>I58</f>
        <v>-2908126.4960368918</v>
      </c>
      <c r="J8" s="37"/>
      <c r="K8" s="38"/>
    </row>
    <row r="9" spans="1:11" x14ac:dyDescent="0.3">
      <c r="A9" s="97">
        <v>3</v>
      </c>
      <c r="B9" s="67">
        <v>42675</v>
      </c>
      <c r="C9" s="37">
        <f>C8-($C$7*E9)</f>
        <v>6284956.9312781738</v>
      </c>
      <c r="D9" s="37">
        <f>(C8+C9)/2*($D$7/12)</f>
        <v>19250.988232930231</v>
      </c>
      <c r="E9" s="45">
        <f>'7 15 16 Forecast Usage by Sched'!Z5</f>
        <v>225272779.60054439</v>
      </c>
      <c r="F9" s="45"/>
      <c r="G9" s="97">
        <v>3</v>
      </c>
      <c r="H9" s="67">
        <v>42675</v>
      </c>
      <c r="I9" s="37">
        <f>I8-($I$7*K9)</f>
        <v>-2673793.2129635708</v>
      </c>
      <c r="J9" s="37">
        <f>(I8+I9)/2*($J$7/12)</f>
        <v>-8140.2995756256751</v>
      </c>
      <c r="K9" s="45">
        <f>'7 15 16 Forecast Usage by Sched'!AA5</f>
        <v>173580209.68394157</v>
      </c>
    </row>
    <row r="10" spans="1:11" x14ac:dyDescent="0.3">
      <c r="A10" s="97">
        <v>4</v>
      </c>
      <c r="B10" s="67">
        <v>42705</v>
      </c>
      <c r="C10" s="37">
        <f t="shared" ref="C10:C20" si="0">C9-($C$7*E10)</f>
        <v>5493188.3754982753</v>
      </c>
      <c r="D10" s="37">
        <f t="shared" ref="D10:D20" si="1">(C9+C10)/2*($D$7/12)</f>
        <v>17176.461905715656</v>
      </c>
      <c r="E10" s="45">
        <f>'7 15 16 Forecast Usage by Sched'!Z6</f>
        <v>282774484.20710671</v>
      </c>
      <c r="F10" s="45"/>
      <c r="G10" s="97">
        <v>4</v>
      </c>
      <c r="H10" s="67">
        <v>42705</v>
      </c>
      <c r="I10" s="37">
        <f t="shared" ref="I10:I20" si="2">I9-($I$7*K10)</f>
        <v>-2418990.3579373253</v>
      </c>
      <c r="J10" s="37">
        <f t="shared" ref="J10:J20" si="3">(I9+I10)/2*($J$7/12)</f>
        <v>-7426.9760408971415</v>
      </c>
      <c r="K10" s="45">
        <f>'7 15 16 Forecast Usage by Sched'!AA6</f>
        <v>188742855.57499677</v>
      </c>
    </row>
    <row r="11" spans="1:11" x14ac:dyDescent="0.3">
      <c r="A11" s="97">
        <v>5</v>
      </c>
      <c r="B11" s="67">
        <v>42736</v>
      </c>
      <c r="C11" s="37">
        <f t="shared" si="0"/>
        <v>4712934.2249595691</v>
      </c>
      <c r="D11" s="37">
        <f t="shared" si="1"/>
        <v>14883.928792334356</v>
      </c>
      <c r="E11" s="45">
        <f>'7 15 16 Forecast Usage by Sched'!Z7</f>
        <v>278662196.62096667</v>
      </c>
      <c r="F11" s="45"/>
      <c r="G11" s="97">
        <v>5</v>
      </c>
      <c r="H11" s="67">
        <v>42736</v>
      </c>
      <c r="I11" s="37">
        <f t="shared" si="2"/>
        <v>-2167035.4607770704</v>
      </c>
      <c r="J11" s="37">
        <f t="shared" si="3"/>
        <v>-6687.9543189584929</v>
      </c>
      <c r="K11" s="45">
        <f>'7 15 16 Forecast Usage by Sched'!AA7</f>
        <v>186633257.15574437</v>
      </c>
    </row>
    <row r="12" spans="1:11" x14ac:dyDescent="0.3">
      <c r="A12" s="97">
        <v>6</v>
      </c>
      <c r="B12" s="67">
        <v>42767</v>
      </c>
      <c r="C12" s="37">
        <f t="shared" si="0"/>
        <v>4077536.9037148496</v>
      </c>
      <c r="D12" s="37">
        <f t="shared" si="1"/>
        <v>12819.437062650193</v>
      </c>
      <c r="E12" s="45">
        <f>'7 15 16 Forecast Usage by Sched'!Z8</f>
        <v>226927614.73025692</v>
      </c>
      <c r="F12" s="45"/>
      <c r="G12" s="97">
        <v>6</v>
      </c>
      <c r="H12" s="67">
        <v>42767</v>
      </c>
      <c r="I12" s="37">
        <f t="shared" si="2"/>
        <v>-1949763.7772991981</v>
      </c>
      <c r="J12" s="37">
        <f t="shared" si="3"/>
        <v>-6003.6655555278921</v>
      </c>
      <c r="K12" s="45">
        <f>'7 15 16 Forecast Usage by Sched'!AA8</f>
        <v>160941987.7613869</v>
      </c>
    </row>
    <row r="13" spans="1:11" x14ac:dyDescent="0.3">
      <c r="A13" s="97">
        <v>7</v>
      </c>
      <c r="B13" s="67">
        <v>42795</v>
      </c>
      <c r="C13" s="37">
        <f t="shared" si="0"/>
        <v>3442197.1623807717</v>
      </c>
      <c r="D13" s="37">
        <f t="shared" si="1"/>
        <v>10966.278846389449</v>
      </c>
      <c r="E13" s="45">
        <f>'7 15 16 Forecast Usage by Sched'!Z9</f>
        <v>226907050.4764564</v>
      </c>
      <c r="F13" s="45"/>
      <c r="G13" s="97">
        <v>7</v>
      </c>
      <c r="H13" s="67">
        <v>42795</v>
      </c>
      <c r="I13" s="37">
        <f t="shared" si="2"/>
        <v>-1716356.9755108338</v>
      </c>
      <c r="J13" s="37">
        <f t="shared" si="3"/>
        <v>-5346.4260978479633</v>
      </c>
      <c r="K13" s="45">
        <f>'7 15 16 Forecast Usage by Sched'!AA9</f>
        <v>172893927.25064012</v>
      </c>
    </row>
    <row r="14" spans="1:11" x14ac:dyDescent="0.3">
      <c r="A14" s="97">
        <v>8</v>
      </c>
      <c r="B14" s="67">
        <v>42826</v>
      </c>
      <c r="C14" s="37">
        <f t="shared" si="0"/>
        <v>2929849.7476427522</v>
      </c>
      <c r="D14" s="37">
        <f t="shared" si="1"/>
        <v>9292.5684104509728</v>
      </c>
      <c r="E14" s="45">
        <f>'7 15 16 Forecast Usage by Sched'!Z10</f>
        <v>182981219.54929262</v>
      </c>
      <c r="F14" s="45"/>
      <c r="G14" s="97">
        <v>8</v>
      </c>
      <c r="H14" s="67">
        <v>42826</v>
      </c>
      <c r="I14" s="37">
        <f t="shared" si="2"/>
        <v>-1501053.3371357278</v>
      </c>
      <c r="J14" s="37">
        <f t="shared" si="3"/>
        <v>-4692.0567059429022</v>
      </c>
      <c r="K14" s="45">
        <f>'7 15 16 Forecast Usage by Sched'!AA10</f>
        <v>159484176.57415268</v>
      </c>
    </row>
    <row r="15" spans="1:11" x14ac:dyDescent="0.3">
      <c r="A15" s="97">
        <v>9</v>
      </c>
      <c r="B15" s="67">
        <v>42856</v>
      </c>
      <c r="C15" s="37">
        <f t="shared" si="0"/>
        <v>2463312.3227368779</v>
      </c>
      <c r="D15" s="37">
        <f t="shared" si="1"/>
        <v>7865.0280193036269</v>
      </c>
      <c r="E15" s="45">
        <f>'7 15 16 Forecast Usage by Sched'!Z11</f>
        <v>166620508.8949551</v>
      </c>
      <c r="F15" s="45"/>
      <c r="G15" s="97">
        <v>9</v>
      </c>
      <c r="H15" s="67">
        <v>42856</v>
      </c>
      <c r="I15" s="37">
        <f t="shared" si="2"/>
        <v>-1272503.2553265886</v>
      </c>
      <c r="J15" s="37">
        <f t="shared" si="3"/>
        <v>-4044.7700306742113</v>
      </c>
      <c r="K15" s="45">
        <f>'7 15 16 Forecast Usage by Sched'!AA11</f>
        <v>169296356.89565861</v>
      </c>
    </row>
    <row r="16" spans="1:11" x14ac:dyDescent="0.3">
      <c r="A16" s="97">
        <v>10</v>
      </c>
      <c r="B16" s="67">
        <v>42887</v>
      </c>
      <c r="C16" s="37">
        <f t="shared" si="0"/>
        <v>2014951.1184029444</v>
      </c>
      <c r="D16" s="37">
        <f t="shared" si="1"/>
        <v>6530.8008516622422</v>
      </c>
      <c r="E16" s="45">
        <f>'7 15 16 Forecast Usage by Sched'!Z12</f>
        <v>160129001.54783341</v>
      </c>
      <c r="F16" s="45"/>
      <c r="G16" s="97">
        <v>10</v>
      </c>
      <c r="H16" s="67">
        <v>42887</v>
      </c>
      <c r="I16" s="37">
        <f t="shared" si="2"/>
        <v>-1031852.1160481585</v>
      </c>
      <c r="J16" s="37">
        <f t="shared" si="3"/>
        <v>-3360.5182499215066</v>
      </c>
      <c r="K16" s="45">
        <f>'7 15 16 Forecast Usage by Sched'!AA12</f>
        <v>178260103.16920751</v>
      </c>
    </row>
    <row r="17" spans="1:11" x14ac:dyDescent="0.3">
      <c r="A17" s="97">
        <v>11</v>
      </c>
      <c r="B17" s="67">
        <v>42917</v>
      </c>
      <c r="C17" s="37">
        <f t="shared" si="0"/>
        <v>1480367.613388252</v>
      </c>
      <c r="D17" s="37">
        <f t="shared" si="1"/>
        <v>5097.339817195495</v>
      </c>
      <c r="E17" s="45">
        <f>'7 15 16 Forecast Usage by Sched'!Z13</f>
        <v>190922680.36239016</v>
      </c>
      <c r="F17" s="45"/>
      <c r="G17" s="97">
        <v>11</v>
      </c>
      <c r="H17" s="67">
        <v>42917</v>
      </c>
      <c r="I17" s="37">
        <f t="shared" si="2"/>
        <v>-750055.61959623056</v>
      </c>
      <c r="J17" s="37">
        <f t="shared" si="3"/>
        <v>-2598.6154478147341</v>
      </c>
      <c r="K17" s="45">
        <f>'7 15 16 Forecast Usage by Sched'!AA13</f>
        <v>208738145.5199466</v>
      </c>
    </row>
    <row r="18" spans="1:11" x14ac:dyDescent="0.3">
      <c r="A18" s="97">
        <v>12</v>
      </c>
      <c r="B18" s="67">
        <v>42948</v>
      </c>
      <c r="C18" s="37">
        <f t="shared" si="0"/>
        <v>957015.65942974912</v>
      </c>
      <c r="D18" s="37">
        <f t="shared" si="1"/>
        <v>3554.5172728595849</v>
      </c>
      <c r="E18" s="45">
        <f>'7 15 16 Forecast Usage by Sched'!Z14</f>
        <v>186911412.12803674</v>
      </c>
      <c r="F18" s="45"/>
      <c r="G18" s="97">
        <v>12</v>
      </c>
      <c r="H18" s="67">
        <v>42948</v>
      </c>
      <c r="I18" s="37">
        <f t="shared" si="2"/>
        <v>-474017.43965806405</v>
      </c>
      <c r="J18" s="37">
        <f t="shared" si="3"/>
        <v>-1785.1065447458466</v>
      </c>
      <c r="K18" s="45">
        <f>'7 15 16 Forecast Usage by Sched'!AA14</f>
        <v>204472725.88012332</v>
      </c>
    </row>
    <row r="19" spans="1:11" x14ac:dyDescent="0.3">
      <c r="A19" s="97">
        <v>13</v>
      </c>
      <c r="B19" s="67">
        <v>42979</v>
      </c>
      <c r="C19" s="37">
        <f t="shared" si="0"/>
        <v>522521.95637518697</v>
      </c>
      <c r="D19" s="37">
        <f t="shared" si="1"/>
        <v>2157.659023048865</v>
      </c>
      <c r="E19" s="45">
        <f>'7 15 16 Forecast Usage by Sched'!Z15</f>
        <v>155176322.51948649</v>
      </c>
      <c r="F19" s="45"/>
      <c r="G19" s="97">
        <v>13</v>
      </c>
      <c r="H19" s="67">
        <v>42979</v>
      </c>
      <c r="I19" s="37">
        <f t="shared" si="2"/>
        <v>-241825.64702987959</v>
      </c>
      <c r="J19" s="37">
        <f t="shared" si="3"/>
        <v>-1043.9378347532513</v>
      </c>
      <c r="K19" s="45">
        <f>'7 15 16 Forecast Usage by Sched'!AA15</f>
        <v>171993920.46532181</v>
      </c>
    </row>
    <row r="20" spans="1:11" x14ac:dyDescent="0.3">
      <c r="A20" s="97">
        <v>14</v>
      </c>
      <c r="B20" s="67">
        <v>43009</v>
      </c>
      <c r="C20" s="37">
        <f t="shared" si="0"/>
        <v>11515.814816340513</v>
      </c>
      <c r="D20" s="37">
        <f t="shared" si="1"/>
        <v>778.80508298764425</v>
      </c>
      <c r="E20" s="45">
        <f>'7 15 16 Forecast Usage by Sched'!Z16</f>
        <v>182502193.41387373</v>
      </c>
      <c r="F20" s="45"/>
      <c r="G20" s="97">
        <v>14</v>
      </c>
      <c r="H20" s="67">
        <v>43009</v>
      </c>
      <c r="I20" s="37">
        <f t="shared" si="2"/>
        <v>745.15356142321252</v>
      </c>
      <c r="J20" s="37">
        <f t="shared" si="3"/>
        <v>-351.57571964149889</v>
      </c>
      <c r="K20" s="45">
        <f>'7 15 16 Forecast Usage by Sched'!AA16</f>
        <v>179682074.51207614</v>
      </c>
    </row>
    <row r="21" spans="1:11" x14ac:dyDescent="0.3">
      <c r="B21" s="38"/>
      <c r="C21" s="38"/>
      <c r="D21" s="38"/>
      <c r="E21" s="38"/>
      <c r="F21" s="38"/>
      <c r="G21" s="97"/>
      <c r="H21" s="38"/>
      <c r="I21" s="38"/>
      <c r="J21" s="38"/>
      <c r="K21" s="38"/>
    </row>
    <row r="22" spans="1:11" x14ac:dyDescent="0.3">
      <c r="A22" s="97">
        <v>15</v>
      </c>
      <c r="B22" s="38" t="s">
        <v>6</v>
      </c>
      <c r="C22" s="38"/>
      <c r="D22" s="37">
        <f>SUM(D9:D21)</f>
        <v>110373.8133175283</v>
      </c>
      <c r="E22" s="46">
        <f>SUM(E9:E21)</f>
        <v>2465787464.0511994</v>
      </c>
      <c r="F22" s="46"/>
      <c r="G22" s="97">
        <v>15</v>
      </c>
      <c r="H22" s="38" t="s">
        <v>6</v>
      </c>
      <c r="I22" s="38"/>
      <c r="J22" s="37">
        <f>SUM(J9:J21)</f>
        <v>-51481.902122351123</v>
      </c>
      <c r="K22" s="46">
        <f>SUM(K9:K21)</f>
        <v>2154719740.4431963</v>
      </c>
    </row>
    <row r="23" spans="1:11" x14ac:dyDescent="0.3">
      <c r="B23" s="38"/>
      <c r="C23" s="38"/>
      <c r="D23" s="37"/>
      <c r="E23" s="46"/>
      <c r="F23" s="46"/>
      <c r="G23" s="97"/>
      <c r="H23" s="38"/>
      <c r="I23" s="38"/>
      <c r="J23" s="37"/>
      <c r="K23" s="46"/>
    </row>
    <row r="24" spans="1:11" ht="28.2" customHeight="1" x14ac:dyDescent="0.3">
      <c r="A24" s="97">
        <v>16</v>
      </c>
      <c r="B24" s="117" t="s">
        <v>10</v>
      </c>
      <c r="C24" s="117"/>
      <c r="D24" s="39">
        <f>ROUND(D22/E22,5)</f>
        <v>4.0000000000000003E-5</v>
      </c>
      <c r="E24" s="46"/>
      <c r="F24" s="46"/>
      <c r="G24" s="97">
        <v>16</v>
      </c>
      <c r="H24" s="117" t="s">
        <v>10</v>
      </c>
      <c r="I24" s="117"/>
      <c r="J24" s="39">
        <f>ROUND(J22/K22,5)</f>
        <v>-2.0000000000000002E-5</v>
      </c>
      <c r="K24" s="46"/>
    </row>
    <row r="25" spans="1:11" ht="28.2" customHeight="1" x14ac:dyDescent="0.3">
      <c r="A25" s="97">
        <v>17</v>
      </c>
      <c r="B25" s="117" t="s">
        <v>11</v>
      </c>
      <c r="C25" s="117"/>
      <c r="D25" s="39">
        <f>C7</f>
        <v>2.8E-3</v>
      </c>
      <c r="E25" s="46"/>
      <c r="F25" s="46"/>
      <c r="G25" s="97">
        <v>17</v>
      </c>
      <c r="H25" s="117" t="s">
        <v>11</v>
      </c>
      <c r="I25" s="117"/>
      <c r="J25" s="39">
        <f>I7</f>
        <v>-1.3500000000000001E-3</v>
      </c>
      <c r="K25" s="46"/>
    </row>
    <row r="26" spans="1:11" ht="28.8" customHeight="1" x14ac:dyDescent="0.3">
      <c r="A26" s="97">
        <v>18</v>
      </c>
      <c r="B26" s="117" t="s">
        <v>12</v>
      </c>
      <c r="C26" s="117"/>
      <c r="D26" s="39">
        <f>D24+D25</f>
        <v>2.8400000000000001E-3</v>
      </c>
      <c r="E26" s="47"/>
      <c r="F26" s="47"/>
      <c r="G26" s="97">
        <v>18</v>
      </c>
      <c r="H26" s="117" t="s">
        <v>12</v>
      </c>
      <c r="I26" s="117"/>
      <c r="J26" s="39">
        <f>J24+J25</f>
        <v>-1.3700000000000001E-3</v>
      </c>
      <c r="K26" s="47"/>
    </row>
    <row r="27" spans="1:11" ht="28.8" customHeight="1" x14ac:dyDescent="0.3">
      <c r="A27" s="97">
        <v>19</v>
      </c>
      <c r="B27" s="118" t="s">
        <v>13</v>
      </c>
      <c r="C27" s="118"/>
      <c r="D27" s="40">
        <f>'Conversion Factors'!$E$115</f>
        <v>1.0495509999999999</v>
      </c>
      <c r="E27" s="46"/>
      <c r="F27" s="46"/>
      <c r="G27" s="97">
        <v>19</v>
      </c>
      <c r="H27" s="118" t="s">
        <v>13</v>
      </c>
      <c r="I27" s="118"/>
      <c r="J27" s="40">
        <f>D27</f>
        <v>1.0495509999999999</v>
      </c>
      <c r="K27" s="46"/>
    </row>
    <row r="28" spans="1:11" ht="30" customHeight="1" x14ac:dyDescent="0.3">
      <c r="A28" s="97">
        <v>20</v>
      </c>
      <c r="B28" s="38" t="s">
        <v>100</v>
      </c>
      <c r="C28" s="38"/>
      <c r="D28" s="39">
        <f>ROUND(D26*D27,5)</f>
        <v>2.98E-3</v>
      </c>
      <c r="E28" s="46"/>
      <c r="F28" s="46"/>
      <c r="G28" s="97">
        <v>20</v>
      </c>
      <c r="H28" s="38" t="s">
        <v>100</v>
      </c>
      <c r="I28" s="38"/>
      <c r="J28" s="39">
        <f>ROUND(J26*J27,5)</f>
        <v>-1.4400000000000001E-3</v>
      </c>
      <c r="K28" s="46"/>
    </row>
    <row r="29" spans="1:11" ht="27.6" customHeight="1" x14ac:dyDescent="0.3">
      <c r="A29" s="97">
        <v>21</v>
      </c>
      <c r="B29" s="38" t="s">
        <v>88</v>
      </c>
      <c r="C29" s="38"/>
      <c r="D29" s="39">
        <f>'Earnings Test and 3% Test'!D67</f>
        <v>-3.5E-4</v>
      </c>
      <c r="E29" s="46"/>
      <c r="F29" s="46"/>
      <c r="G29" s="97">
        <v>21</v>
      </c>
      <c r="H29" s="38" t="s">
        <v>88</v>
      </c>
      <c r="I29" s="38"/>
      <c r="J29" s="39">
        <f>'Earnings Test and 3% Test'!D68</f>
        <v>0</v>
      </c>
      <c r="K29" s="46"/>
    </row>
    <row r="30" spans="1:11" ht="27.6" customHeight="1" x14ac:dyDescent="0.3">
      <c r="A30" s="97">
        <v>22</v>
      </c>
      <c r="B30" s="38" t="s">
        <v>89</v>
      </c>
      <c r="C30" s="38"/>
      <c r="D30" s="39">
        <f>D28+D29</f>
        <v>2.63E-3</v>
      </c>
      <c r="E30" s="46" t="s">
        <v>15</v>
      </c>
      <c r="F30" s="46"/>
      <c r="G30" s="97">
        <v>22</v>
      </c>
      <c r="H30" s="38" t="s">
        <v>89</v>
      </c>
      <c r="I30" s="38"/>
      <c r="J30" s="39">
        <f>J28+J29</f>
        <v>-1.4400000000000001E-3</v>
      </c>
      <c r="K30" s="46" t="s">
        <v>76</v>
      </c>
    </row>
    <row r="31" spans="1:11" ht="28.2" customHeight="1" x14ac:dyDescent="0.3">
      <c r="A31" s="97">
        <v>23</v>
      </c>
      <c r="B31" s="38"/>
      <c r="C31" s="42" t="s">
        <v>96</v>
      </c>
      <c r="D31" s="39">
        <f>ROUND(D30*'Conversion Factors'!$K$108,5)</f>
        <v>2.5100000000000001E-3</v>
      </c>
      <c r="E31" s="46" t="s">
        <v>14</v>
      </c>
      <c r="F31" s="46"/>
      <c r="G31" s="97">
        <v>23</v>
      </c>
      <c r="H31" s="38"/>
      <c r="I31" s="42" t="s">
        <v>96</v>
      </c>
      <c r="J31" s="39">
        <f>ROUND(J30*'Conversion Factors'!$K$108,5)</f>
        <v>-1.3699999999999999E-3</v>
      </c>
      <c r="K31" s="46" t="s">
        <v>14</v>
      </c>
    </row>
    <row r="32" spans="1:11" ht="29.4" customHeight="1" x14ac:dyDescent="0.3">
      <c r="A32" s="97">
        <v>24</v>
      </c>
      <c r="B32" s="38" t="s">
        <v>99</v>
      </c>
      <c r="C32" s="38"/>
      <c r="D32" s="37">
        <f>IF(D29=0,0,C70)</f>
        <v>853239.77904391056</v>
      </c>
      <c r="E32" s="46"/>
      <c r="F32" s="46"/>
      <c r="G32" s="97">
        <v>24</v>
      </c>
      <c r="H32" s="38" t="s">
        <v>99</v>
      </c>
      <c r="I32" s="38"/>
      <c r="J32" s="37">
        <f>IF(J29=0,0,I70)</f>
        <v>0</v>
      </c>
      <c r="K32" s="46"/>
    </row>
    <row r="33" spans="1:11" ht="18" customHeight="1" x14ac:dyDescent="0.3">
      <c r="B33" s="38"/>
      <c r="C33" s="38"/>
      <c r="D33" s="48"/>
      <c r="E33" s="38"/>
      <c r="F33" s="38"/>
      <c r="G33" s="38"/>
      <c r="H33" s="118"/>
      <c r="I33" s="118"/>
      <c r="J33" s="48"/>
      <c r="K33" s="38"/>
    </row>
    <row r="34" spans="1:11" ht="16.2" customHeight="1" x14ac:dyDescent="0.3">
      <c r="A34" s="68" t="s">
        <v>91</v>
      </c>
      <c r="B34" s="68"/>
      <c r="C34" s="38"/>
      <c r="D34" s="48"/>
      <c r="E34" s="38"/>
      <c r="F34" s="38"/>
      <c r="G34" s="68" t="s">
        <v>91</v>
      </c>
      <c r="H34" s="68"/>
      <c r="I34" s="38"/>
      <c r="J34" s="48"/>
      <c r="K34" s="38"/>
    </row>
    <row r="35" spans="1:11" ht="46.8" customHeight="1" x14ac:dyDescent="0.3">
      <c r="A35" s="106" t="s">
        <v>174</v>
      </c>
      <c r="B35" s="119" t="str">
        <f>"Deferral balance at the end of the month, Rate of "&amp;TEXT(D25,"$0.00000")&amp;" to recover the October 2016 balance of "&amp;TEXT(C8,"$000,000")&amp;" over 12 months.  See page 2 of Attachment A for October 2016 balance calculation."</f>
        <v>Deferral balance at the end of the month, Rate of $0.00280 to recover the October 2016 balance of $6,915,721 over 12 months.  See page 2 of Attachment A for October 2016 balance calculation.</v>
      </c>
      <c r="C35" s="119"/>
      <c r="D35" s="119"/>
      <c r="E35" s="119"/>
      <c r="F35" s="38"/>
      <c r="G35" s="106" t="s">
        <v>174</v>
      </c>
      <c r="H35" s="119" t="str">
        <f>"Deferral balance at the end of the month, Rate of "&amp;TEXT(J25,"$0.00000")&amp;" to recover the October 2016 balance of "&amp;TEXT(I8,"$000,000")&amp;" over 12 months.  See page 4 of Attachment A for October 2016 balance calculation."</f>
        <v>Deferral balance at the end of the month, Rate of -$0.00135 to recover the October 2016 balance of -$2,908,126 over 12 months.  See page 4 of Attachment A for October 2016 balance calculation.</v>
      </c>
      <c r="I35" s="119"/>
      <c r="J35" s="119"/>
      <c r="K35" s="119"/>
    </row>
    <row r="36" spans="1:11" ht="32.4" customHeight="1" x14ac:dyDescent="0.3">
      <c r="A36" s="106" t="s">
        <v>175</v>
      </c>
      <c r="B36" s="119" t="s">
        <v>176</v>
      </c>
      <c r="C36" s="119"/>
      <c r="D36" s="119"/>
      <c r="E36" s="119"/>
      <c r="F36" s="38"/>
      <c r="G36" s="106" t="s">
        <v>175</v>
      </c>
      <c r="H36" s="119" t="s">
        <v>176</v>
      </c>
      <c r="I36" s="119"/>
      <c r="J36" s="119"/>
      <c r="K36" s="119"/>
    </row>
    <row r="37" spans="1:11" ht="15.6" customHeight="1" x14ac:dyDescent="0.3">
      <c r="B37" s="72" t="s">
        <v>97</v>
      </c>
      <c r="C37" s="73"/>
      <c r="D37" s="73"/>
      <c r="E37" s="73"/>
      <c r="F37" s="38"/>
      <c r="H37" s="72" t="s">
        <v>97</v>
      </c>
      <c r="I37" s="102"/>
      <c r="J37" s="102"/>
      <c r="K37" s="102"/>
    </row>
    <row r="38" spans="1:11" ht="18" customHeight="1" x14ac:dyDescent="0.3">
      <c r="A38" s="106" t="s">
        <v>177</v>
      </c>
      <c r="B38" s="120" t="s">
        <v>180</v>
      </c>
      <c r="C38" s="120"/>
      <c r="D38" s="120"/>
      <c r="E38" s="120"/>
      <c r="F38" s="38"/>
      <c r="G38" s="106" t="s">
        <v>177</v>
      </c>
      <c r="H38" s="120" t="s">
        <v>180</v>
      </c>
      <c r="I38" s="120"/>
      <c r="J38" s="120"/>
      <c r="K38" s="120"/>
    </row>
    <row r="39" spans="1:11" ht="18" customHeight="1" x14ac:dyDescent="0.3">
      <c r="A39" s="106" t="s">
        <v>178</v>
      </c>
      <c r="B39" s="120" t="s">
        <v>181</v>
      </c>
      <c r="C39" s="120"/>
      <c r="D39" s="120"/>
      <c r="E39" s="120"/>
      <c r="F39" s="38"/>
      <c r="G39" s="106" t="s">
        <v>178</v>
      </c>
      <c r="H39" s="120" t="s">
        <v>181</v>
      </c>
      <c r="I39" s="120"/>
      <c r="J39" s="120"/>
      <c r="K39" s="120"/>
    </row>
    <row r="40" spans="1:11" ht="18" customHeight="1" x14ac:dyDescent="0.3">
      <c r="A40" s="106" t="s">
        <v>179</v>
      </c>
      <c r="B40" s="120" t="s">
        <v>182</v>
      </c>
      <c r="C40" s="120"/>
      <c r="D40" s="120"/>
      <c r="E40" s="120"/>
      <c r="F40" s="38"/>
      <c r="G40" s="106" t="s">
        <v>179</v>
      </c>
      <c r="H40" s="120" t="s">
        <v>182</v>
      </c>
      <c r="I40" s="120"/>
      <c r="J40" s="120"/>
      <c r="K40" s="120"/>
    </row>
    <row r="41" spans="1:11" ht="14.4" customHeight="1" x14ac:dyDescent="0.3">
      <c r="B41" s="76"/>
      <c r="C41" s="76"/>
      <c r="D41" s="48"/>
      <c r="E41" s="38"/>
      <c r="F41" s="38"/>
      <c r="G41" s="38"/>
      <c r="H41" s="76"/>
      <c r="I41" s="76"/>
      <c r="J41" s="48"/>
      <c r="K41" s="38"/>
    </row>
    <row r="42" spans="1:11" ht="27.6" customHeight="1" x14ac:dyDescent="0.3">
      <c r="B42" s="121" t="str">
        <f>B5</f>
        <v>Residential Electric</v>
      </c>
      <c r="C42" s="121"/>
      <c r="D42" s="121"/>
      <c r="E42" s="121"/>
      <c r="F42" s="74"/>
      <c r="G42" s="38"/>
      <c r="H42" s="121" t="str">
        <f>H5</f>
        <v>Non-Residential Electric</v>
      </c>
      <c r="I42" s="121"/>
      <c r="J42" s="121"/>
      <c r="K42" s="121"/>
    </row>
    <row r="43" spans="1:11" x14ac:dyDescent="0.3">
      <c r="B43" s="116" t="s">
        <v>93</v>
      </c>
      <c r="C43" s="116"/>
      <c r="D43" s="116"/>
      <c r="E43" s="116"/>
      <c r="F43" s="38"/>
      <c r="G43" s="38"/>
      <c r="H43" s="116" t="s">
        <v>93</v>
      </c>
      <c r="I43" s="116"/>
      <c r="J43" s="116"/>
      <c r="K43" s="116"/>
    </row>
    <row r="44" spans="1:11" ht="27.6" customHeight="1" x14ac:dyDescent="0.3">
      <c r="A44" s="98" t="s">
        <v>166</v>
      </c>
      <c r="B44" s="38"/>
      <c r="C44" s="74" t="s">
        <v>9</v>
      </c>
      <c r="D44" s="74" t="s">
        <v>4</v>
      </c>
      <c r="E44" s="75" t="s">
        <v>95</v>
      </c>
      <c r="F44" s="38"/>
      <c r="G44" s="98" t="s">
        <v>166</v>
      </c>
      <c r="H44" s="38"/>
      <c r="I44" s="74" t="s">
        <v>9</v>
      </c>
      <c r="J44" s="74" t="s">
        <v>4</v>
      </c>
      <c r="K44" s="77" t="s">
        <v>95</v>
      </c>
    </row>
    <row r="45" spans="1:11" ht="43.2" x14ac:dyDescent="0.3">
      <c r="B45" s="38"/>
      <c r="C45" s="38"/>
      <c r="D45" s="71" t="s">
        <v>162</v>
      </c>
      <c r="E45" s="38"/>
      <c r="F45" s="38"/>
      <c r="G45" s="38"/>
      <c r="H45" s="38"/>
      <c r="I45" s="38"/>
      <c r="J45" s="71" t="str">
        <f>D45</f>
        <v>3.25% Q1 2016 3.46% Q2 2016  3.50% Q3 2016</v>
      </c>
      <c r="K45" s="38"/>
    </row>
    <row r="46" spans="1:11" x14ac:dyDescent="0.3">
      <c r="A46" s="99">
        <v>1</v>
      </c>
      <c r="B46" s="67">
        <v>42339</v>
      </c>
      <c r="C46" s="37">
        <v>7167748</v>
      </c>
      <c r="D46" s="38"/>
      <c r="E46" s="38"/>
      <c r="F46" s="38"/>
      <c r="G46" s="99">
        <v>1</v>
      </c>
      <c r="H46" s="67">
        <v>42339</v>
      </c>
      <c r="I46" s="37">
        <v>-2373472</v>
      </c>
      <c r="J46" s="38"/>
      <c r="K46" s="38"/>
    </row>
    <row r="47" spans="1:11" x14ac:dyDescent="0.3">
      <c r="A47" s="99">
        <v>2</v>
      </c>
      <c r="B47" s="67" t="s">
        <v>104</v>
      </c>
      <c r="C47" s="37">
        <f>-'Earnings Test and 3% Test'!D33</f>
        <v>-445679.44450874766</v>
      </c>
      <c r="D47" s="38"/>
      <c r="E47" s="38"/>
      <c r="F47" s="38"/>
      <c r="G47" s="99">
        <v>2</v>
      </c>
      <c r="H47" s="67" t="s">
        <v>104</v>
      </c>
      <c r="I47" s="37">
        <f>-'Earnings Test and 3% Test'!D34</f>
        <v>-453221.91700208629</v>
      </c>
      <c r="J47" s="38"/>
      <c r="K47" s="38"/>
    </row>
    <row r="48" spans="1:11" x14ac:dyDescent="0.3">
      <c r="A48" s="99">
        <v>3</v>
      </c>
      <c r="B48" s="67" t="s">
        <v>105</v>
      </c>
      <c r="C48" s="37">
        <f>C46+C47</f>
        <v>6722068.5554912519</v>
      </c>
      <c r="D48" s="38"/>
      <c r="E48" s="38"/>
      <c r="F48" s="38"/>
      <c r="G48" s="99">
        <v>3</v>
      </c>
      <c r="H48" s="67" t="s">
        <v>105</v>
      </c>
      <c r="I48" s="37">
        <f>I46+I47</f>
        <v>-2826693.9170020865</v>
      </c>
      <c r="J48" s="38"/>
      <c r="K48" s="38"/>
    </row>
    <row r="49" spans="1:11" x14ac:dyDescent="0.3">
      <c r="A49" s="99">
        <v>4</v>
      </c>
      <c r="B49" s="67">
        <v>42370</v>
      </c>
      <c r="C49" s="37">
        <f>C48+D49-E49</f>
        <v>6740274.1578290407</v>
      </c>
      <c r="D49" s="37">
        <f>(C48-E49/2)*0.0325/12</f>
        <v>18205.602337788809</v>
      </c>
      <c r="E49" s="38"/>
      <c r="F49" s="38"/>
      <c r="G49" s="99">
        <v>4</v>
      </c>
      <c r="H49" s="67">
        <v>42370</v>
      </c>
      <c r="I49" s="37">
        <f>I48+J49-K49</f>
        <v>-2834349.5463606338</v>
      </c>
      <c r="J49" s="37">
        <f>(I48-K49/2)*0.0325/12</f>
        <v>-7655.6293585473177</v>
      </c>
      <c r="K49" s="38"/>
    </row>
    <row r="50" spans="1:11" x14ac:dyDescent="0.3">
      <c r="A50" s="99">
        <v>5</v>
      </c>
      <c r="B50" s="67">
        <v>42401</v>
      </c>
      <c r="C50" s="37">
        <f t="shared" ref="C50:C58" si="4">C49+D50-E50</f>
        <v>6758529.0670064939</v>
      </c>
      <c r="D50" s="37">
        <f>(C49-E50/2)*0.0325/12</f>
        <v>18254.909177453654</v>
      </c>
      <c r="E50" s="38"/>
      <c r="F50" s="38"/>
      <c r="G50" s="99">
        <v>5</v>
      </c>
      <c r="H50" s="67">
        <v>42401</v>
      </c>
      <c r="I50" s="37">
        <f t="shared" ref="I50:I58" si="5">I49+J50-K50</f>
        <v>-2842025.9097153605</v>
      </c>
      <c r="J50" s="37">
        <f t="shared" ref="J50:J51" si="6">(I49-K50/2)*0.0325/12</f>
        <v>-7676.3633547267164</v>
      </c>
      <c r="K50" s="38"/>
    </row>
    <row r="51" spans="1:11" x14ac:dyDescent="0.3">
      <c r="A51" s="99">
        <v>6</v>
      </c>
      <c r="B51" s="67">
        <v>42430</v>
      </c>
      <c r="C51" s="37">
        <f t="shared" si="4"/>
        <v>6776833.4165629698</v>
      </c>
      <c r="D51" s="37">
        <f t="shared" ref="D51" si="7">(C50-E51/2)*0.0325/12</f>
        <v>18304.349556475921</v>
      </c>
      <c r="E51" s="38"/>
      <c r="F51" s="38"/>
      <c r="G51" s="99">
        <v>6</v>
      </c>
      <c r="H51" s="67">
        <v>42430</v>
      </c>
      <c r="I51" s="37">
        <f t="shared" si="5"/>
        <v>-2849723.0632208395</v>
      </c>
      <c r="J51" s="37">
        <f t="shared" si="6"/>
        <v>-7697.153505479102</v>
      </c>
      <c r="K51" s="38"/>
    </row>
    <row r="52" spans="1:11" x14ac:dyDescent="0.3">
      <c r="A52" s="99">
        <v>7</v>
      </c>
      <c r="B52" s="67">
        <v>42461</v>
      </c>
      <c r="C52" s="37">
        <f t="shared" si="4"/>
        <v>6796373.2862473931</v>
      </c>
      <c r="D52" s="37">
        <f>(C51-E52/2)*0.0346/12</f>
        <v>19539.869684423229</v>
      </c>
      <c r="E52" s="38"/>
      <c r="F52" s="38"/>
      <c r="G52" s="99">
        <v>7</v>
      </c>
      <c r="H52" s="67">
        <v>42461</v>
      </c>
      <c r="I52" s="37">
        <f t="shared" si="5"/>
        <v>-2857939.7647197931</v>
      </c>
      <c r="J52" s="37">
        <f>(I51-K52/2)*0.0346/12</f>
        <v>-8216.70149895342</v>
      </c>
      <c r="K52" s="38"/>
    </row>
    <row r="53" spans="1:11" x14ac:dyDescent="0.3">
      <c r="A53" s="99">
        <v>8</v>
      </c>
      <c r="B53" s="67">
        <v>42491</v>
      </c>
      <c r="C53" s="37">
        <f t="shared" si="4"/>
        <v>6815969.4958894067</v>
      </c>
      <c r="D53" s="37">
        <f t="shared" ref="D53:D54" si="8">(C52-E53/2)*0.0346/12</f>
        <v>19596.209642013317</v>
      </c>
      <c r="E53" s="38"/>
      <c r="F53" s="38"/>
      <c r="G53" s="99">
        <v>8</v>
      </c>
      <c r="H53" s="67">
        <v>42491</v>
      </c>
      <c r="I53" s="37">
        <f t="shared" si="5"/>
        <v>-2866180.1577080684</v>
      </c>
      <c r="J53" s="37">
        <f t="shared" ref="J53:J54" si="9">(I52-K53/2)*0.0346/12</f>
        <v>-8240.3929882754037</v>
      </c>
      <c r="K53" s="38"/>
    </row>
    <row r="54" spans="1:11" x14ac:dyDescent="0.3">
      <c r="A54" s="99">
        <v>9</v>
      </c>
      <c r="B54" s="67">
        <v>42522</v>
      </c>
      <c r="C54" s="37">
        <f t="shared" si="4"/>
        <v>6835622.2079358874</v>
      </c>
      <c r="D54" s="37">
        <f t="shared" si="8"/>
        <v>19652.71204648112</v>
      </c>
      <c r="E54" s="38"/>
      <c r="F54" s="38"/>
      <c r="G54" s="99">
        <v>9</v>
      </c>
      <c r="H54" s="67">
        <v>42522</v>
      </c>
      <c r="I54" s="37">
        <f t="shared" si="5"/>
        <v>-2874444.3104961268</v>
      </c>
      <c r="J54" s="37">
        <f t="shared" si="9"/>
        <v>-8264.1527880582635</v>
      </c>
      <c r="K54" s="38"/>
    </row>
    <row r="55" spans="1:11" x14ac:dyDescent="0.3">
      <c r="A55" s="99">
        <v>10</v>
      </c>
      <c r="B55" s="67">
        <v>42552</v>
      </c>
      <c r="C55" s="37">
        <f t="shared" si="4"/>
        <v>6855559.4393757004</v>
      </c>
      <c r="D55" s="37">
        <f>(C54-E55/2)*0.035/12</f>
        <v>19937.231439813007</v>
      </c>
      <c r="E55" s="38"/>
      <c r="F55" s="38"/>
      <c r="G55" s="99">
        <v>10</v>
      </c>
      <c r="H55" s="67">
        <v>42552</v>
      </c>
      <c r="I55" s="37">
        <f t="shared" si="5"/>
        <v>-2882828.1064017406</v>
      </c>
      <c r="J55" s="37">
        <f>(I54-K55/2)*0.035/12</f>
        <v>-8383.7959056137042</v>
      </c>
      <c r="K55" s="38"/>
    </row>
    <row r="56" spans="1:11" x14ac:dyDescent="0.3">
      <c r="A56" s="99">
        <v>11</v>
      </c>
      <c r="B56" s="67">
        <v>42583</v>
      </c>
      <c r="C56" s="37">
        <f t="shared" si="4"/>
        <v>6875554.8210738795</v>
      </c>
      <c r="D56" s="37">
        <f t="shared" ref="D56:D70" si="10">(C55-E56/2)*0.035/12</f>
        <v>19995.381698179128</v>
      </c>
      <c r="E56" s="38"/>
      <c r="F56" s="38"/>
      <c r="G56" s="99">
        <v>11</v>
      </c>
      <c r="H56" s="67">
        <v>42583</v>
      </c>
      <c r="I56" s="37">
        <f t="shared" si="5"/>
        <v>-2891236.3550454122</v>
      </c>
      <c r="J56" s="37">
        <f t="shared" ref="J56:J70" si="11">(I55-K56/2)*0.035/12</f>
        <v>-8408.2486436717445</v>
      </c>
      <c r="K56" s="38"/>
    </row>
    <row r="57" spans="1:11" x14ac:dyDescent="0.3">
      <c r="A57" s="99">
        <v>12</v>
      </c>
      <c r="B57" s="67">
        <v>42614</v>
      </c>
      <c r="C57" s="37">
        <f t="shared" si="4"/>
        <v>6895608.5226353453</v>
      </c>
      <c r="D57" s="37">
        <f t="shared" si="10"/>
        <v>20053.701561465485</v>
      </c>
      <c r="E57" s="38"/>
      <c r="F57" s="38"/>
      <c r="G57" s="99">
        <v>12</v>
      </c>
      <c r="H57" s="67">
        <v>42614</v>
      </c>
      <c r="I57" s="37">
        <f t="shared" si="5"/>
        <v>-2899669.1277476279</v>
      </c>
      <c r="J57" s="37">
        <f t="shared" si="11"/>
        <v>-8432.7727022157869</v>
      </c>
      <c r="K57" s="38"/>
    </row>
    <row r="58" spans="1:11" x14ac:dyDescent="0.3">
      <c r="A58" s="99">
        <v>13</v>
      </c>
      <c r="B58" s="69">
        <v>42644</v>
      </c>
      <c r="C58" s="70">
        <f t="shared" si="4"/>
        <v>6915720.7141596982</v>
      </c>
      <c r="D58" s="37">
        <f t="shared" si="10"/>
        <v>20112.191524353093</v>
      </c>
      <c r="E58" s="38"/>
      <c r="F58" s="38"/>
      <c r="G58" s="99">
        <v>13</v>
      </c>
      <c r="H58" s="69">
        <v>42644</v>
      </c>
      <c r="I58" s="70">
        <f t="shared" si="5"/>
        <v>-2908126.4960368918</v>
      </c>
      <c r="J58" s="37">
        <f t="shared" si="11"/>
        <v>-8457.3682892639154</v>
      </c>
      <c r="K58" s="38"/>
    </row>
    <row r="59" spans="1:11" x14ac:dyDescent="0.3">
      <c r="A59" s="99">
        <v>14</v>
      </c>
      <c r="B59" s="67">
        <v>42675</v>
      </c>
      <c r="C59" s="37">
        <f>C58+D59-E59</f>
        <v>6369632.2972083008</v>
      </c>
      <c r="D59" s="37">
        <f t="shared" si="10"/>
        <v>19346.259845969631</v>
      </c>
      <c r="E59" s="37">
        <f t="shared" ref="E59:E70" si="12">E9*D$31</f>
        <v>565434.67679736647</v>
      </c>
      <c r="F59" s="38"/>
      <c r="G59" s="99">
        <v>14</v>
      </c>
      <c r="H59" s="67">
        <v>42675</v>
      </c>
      <c r="I59" s="37">
        <f>I58+J59-K59</f>
        <v>-2678456.8455894017</v>
      </c>
      <c r="J59" s="37">
        <f t="shared" si="11"/>
        <v>-8135.2368195098934</v>
      </c>
      <c r="K59" s="37">
        <f>K9*J$31</f>
        <v>-237804.88726699993</v>
      </c>
    </row>
    <row r="60" spans="1:11" x14ac:dyDescent="0.3">
      <c r="A60" s="99">
        <v>15</v>
      </c>
      <c r="B60" s="67">
        <v>42705</v>
      </c>
      <c r="C60" s="37">
        <f t="shared" ref="C60:C70" si="13">C59+D60-E60</f>
        <v>5677411.3636137536</v>
      </c>
      <c r="D60" s="37">
        <f t="shared" si="10"/>
        <v>17543.021765291116</v>
      </c>
      <c r="E60" s="37">
        <f t="shared" si="12"/>
        <v>709763.95535983786</v>
      </c>
      <c r="G60" s="99">
        <v>15</v>
      </c>
      <c r="H60" s="67">
        <v>42705</v>
      </c>
      <c r="I60" s="37">
        <f t="shared" ref="I60:I70" si="14">I59+J60-K60</f>
        <v>-2427314.2067544241</v>
      </c>
      <c r="J60" s="37">
        <f t="shared" si="11"/>
        <v>-7435.0733027682099</v>
      </c>
      <c r="K60" s="37">
        <f t="shared" ref="K60:K70" si="15">K10*J$31</f>
        <v>-258577.71213774555</v>
      </c>
    </row>
    <row r="61" spans="1:11" ht="14.4" customHeight="1" x14ac:dyDescent="0.3">
      <c r="A61" s="99">
        <v>16</v>
      </c>
      <c r="B61" s="67">
        <v>42736</v>
      </c>
      <c r="C61" s="37">
        <f t="shared" si="13"/>
        <v>4993508.346823453</v>
      </c>
      <c r="D61" s="37">
        <f t="shared" si="10"/>
        <v>15539.096728325452</v>
      </c>
      <c r="E61" s="37">
        <f t="shared" si="12"/>
        <v>699442.11351862631</v>
      </c>
      <c r="G61" s="99">
        <v>16</v>
      </c>
      <c r="H61" s="67">
        <v>42736</v>
      </c>
      <c r="I61" s="37">
        <f t="shared" si="14"/>
        <v>-2178333.4331923956</v>
      </c>
      <c r="J61" s="37">
        <f t="shared" si="11"/>
        <v>-6706.7887413413227</v>
      </c>
      <c r="K61" s="37">
        <f t="shared" si="15"/>
        <v>-255687.56230336978</v>
      </c>
    </row>
    <row r="62" spans="1:11" x14ac:dyDescent="0.3">
      <c r="A62" s="99">
        <v>17</v>
      </c>
      <c r="B62" s="67">
        <v>42767</v>
      </c>
      <c r="C62" s="37">
        <f t="shared" si="13"/>
        <v>4437653.7835723236</v>
      </c>
      <c r="D62" s="37">
        <f t="shared" si="10"/>
        <v>13733.749721816195</v>
      </c>
      <c r="E62" s="37">
        <f t="shared" si="12"/>
        <v>569588.31297294493</v>
      </c>
      <c r="G62" s="99">
        <v>17</v>
      </c>
      <c r="H62" s="67">
        <v>42767</v>
      </c>
      <c r="I62" s="37">
        <f t="shared" si="14"/>
        <v>-1963874.8337930583</v>
      </c>
      <c r="J62" s="37">
        <f t="shared" si="11"/>
        <v>-6031.923833762884</v>
      </c>
      <c r="K62" s="37">
        <f t="shared" si="15"/>
        <v>-220490.52323310004</v>
      </c>
    </row>
    <row r="63" spans="1:11" x14ac:dyDescent="0.3">
      <c r="A63" s="99">
        <v>18</v>
      </c>
      <c r="B63" s="67">
        <v>42795</v>
      </c>
      <c r="C63" s="37">
        <f t="shared" si="13"/>
        <v>3880229.6693958226</v>
      </c>
      <c r="D63" s="37">
        <f t="shared" si="10"/>
        <v>12112.582519404416</v>
      </c>
      <c r="E63" s="37">
        <f t="shared" si="12"/>
        <v>569536.69669590564</v>
      </c>
      <c r="G63" s="99">
        <v>18</v>
      </c>
      <c r="H63" s="67">
        <v>42795</v>
      </c>
      <c r="I63" s="37">
        <f t="shared" si="14"/>
        <v>-1732392.6940660917</v>
      </c>
      <c r="J63" s="37">
        <f t="shared" si="11"/>
        <v>-5382.5406064102453</v>
      </c>
      <c r="K63" s="37">
        <f t="shared" si="15"/>
        <v>-236864.68033337695</v>
      </c>
    </row>
    <row r="64" spans="1:11" x14ac:dyDescent="0.3">
      <c r="A64" s="99">
        <v>19</v>
      </c>
      <c r="B64" s="67">
        <v>42826</v>
      </c>
      <c r="C64" s="37">
        <f t="shared" si="13"/>
        <v>3431594.3573571104</v>
      </c>
      <c r="D64" s="37">
        <f t="shared" si="10"/>
        <v>10647.549030012593</v>
      </c>
      <c r="E64" s="37">
        <f t="shared" si="12"/>
        <v>459282.86106872448</v>
      </c>
      <c r="G64" s="99">
        <v>19</v>
      </c>
      <c r="H64" s="67">
        <v>42826</v>
      </c>
      <c r="I64" s="37">
        <f t="shared" si="14"/>
        <v>-1518633.5480894148</v>
      </c>
      <c r="J64" s="37">
        <f t="shared" si="11"/>
        <v>-4734.175929912325</v>
      </c>
      <c r="K64" s="37">
        <f t="shared" si="15"/>
        <v>-218493.32190658915</v>
      </c>
    </row>
    <row r="65" spans="1:11" x14ac:dyDescent="0.3">
      <c r="A65" s="99">
        <v>20</v>
      </c>
      <c r="B65" s="67">
        <v>42856</v>
      </c>
      <c r="C65" s="37">
        <f t="shared" si="13"/>
        <v>3022775.7964186305</v>
      </c>
      <c r="D65" s="37">
        <f t="shared" si="10"/>
        <v>9398.9163878573308</v>
      </c>
      <c r="E65" s="37">
        <f t="shared" si="12"/>
        <v>418217.47732633731</v>
      </c>
      <c r="G65" s="99">
        <v>20</v>
      </c>
      <c r="H65" s="67">
        <v>42856</v>
      </c>
      <c r="I65" s="37">
        <f t="shared" si="14"/>
        <v>-1290788.6469779089</v>
      </c>
      <c r="J65" s="37">
        <f t="shared" si="11"/>
        <v>-4091.1078355463428</v>
      </c>
      <c r="K65" s="37">
        <f t="shared" si="15"/>
        <v>-231936.00894705229</v>
      </c>
    </row>
    <row r="66" spans="1:11" x14ac:dyDescent="0.3">
      <c r="A66" s="99">
        <v>21</v>
      </c>
      <c r="B66" s="67">
        <v>42887</v>
      </c>
      <c r="C66" s="37">
        <f t="shared" si="13"/>
        <v>2629082.2930737073</v>
      </c>
      <c r="D66" s="37">
        <f t="shared" si="10"/>
        <v>8230.2905401386251</v>
      </c>
      <c r="E66" s="37">
        <f t="shared" si="12"/>
        <v>401923.79388506187</v>
      </c>
      <c r="G66" s="99">
        <v>21</v>
      </c>
      <c r="H66" s="67">
        <v>42887</v>
      </c>
      <c r="I66" s="37">
        <f t="shared" si="14"/>
        <v>-1049980.9570253233</v>
      </c>
      <c r="J66" s="37">
        <f t="shared" si="11"/>
        <v>-3408.6513892287553</v>
      </c>
      <c r="K66" s="37">
        <f t="shared" si="15"/>
        <v>-244216.34134181429</v>
      </c>
    </row>
    <row r="67" spans="1:11" x14ac:dyDescent="0.3">
      <c r="A67" s="99">
        <v>22</v>
      </c>
      <c r="B67" s="67">
        <v>42917</v>
      </c>
      <c r="C67" s="37">
        <f t="shared" si="13"/>
        <v>2156835.6654909961</v>
      </c>
      <c r="D67" s="37">
        <f t="shared" si="10"/>
        <v>6969.3001268884809</v>
      </c>
      <c r="E67" s="37">
        <f t="shared" si="12"/>
        <v>479215.92770959932</v>
      </c>
      <c r="G67" s="99">
        <v>22</v>
      </c>
      <c r="H67" s="67">
        <v>42917</v>
      </c>
      <c r="I67" s="37">
        <f t="shared" si="14"/>
        <v>-766655.10070108355</v>
      </c>
      <c r="J67" s="37">
        <f t="shared" si="11"/>
        <v>-2645.4030380871332</v>
      </c>
      <c r="K67" s="37">
        <f t="shared" si="15"/>
        <v>-285971.25936232682</v>
      </c>
    </row>
    <row r="68" spans="1:11" x14ac:dyDescent="0.3">
      <c r="A68" s="99">
        <v>23</v>
      </c>
      <c r="B68" s="67">
        <v>42948</v>
      </c>
      <c r="C68" s="37">
        <f t="shared" si="13"/>
        <v>1693294.6180924955</v>
      </c>
      <c r="D68" s="37">
        <f t="shared" si="10"/>
        <v>5606.5970428717374</v>
      </c>
      <c r="E68" s="37">
        <f t="shared" si="12"/>
        <v>469147.64444137225</v>
      </c>
      <c r="G68" s="99">
        <v>23</v>
      </c>
      <c r="H68" s="67">
        <v>42948</v>
      </c>
      <c r="I68" s="37">
        <f t="shared" si="14"/>
        <v>-488355.02415544476</v>
      </c>
      <c r="J68" s="37">
        <f t="shared" si="11"/>
        <v>-1827.5579101301644</v>
      </c>
      <c r="K68" s="37">
        <f t="shared" si="15"/>
        <v>-280127.63445576892</v>
      </c>
    </row>
    <row r="69" spans="1:11" x14ac:dyDescent="0.3">
      <c r="A69" s="99">
        <v>24</v>
      </c>
      <c r="B69" s="67">
        <v>42979</v>
      </c>
      <c r="C69" s="37">
        <f t="shared" si="13"/>
        <v>1308172.8145407983</v>
      </c>
      <c r="D69" s="37">
        <f t="shared" si="10"/>
        <v>4370.7659722140752</v>
      </c>
      <c r="E69" s="37">
        <f t="shared" si="12"/>
        <v>389492.56952391111</v>
      </c>
      <c r="G69" s="99">
        <v>24</v>
      </c>
      <c r="H69" s="67">
        <v>42979</v>
      </c>
      <c r="I69" s="37">
        <f t="shared" si="14"/>
        <v>-253804.09241814425</v>
      </c>
      <c r="J69" s="37">
        <f t="shared" si="11"/>
        <v>-1080.7393001903731</v>
      </c>
      <c r="K69" s="37">
        <f t="shared" si="15"/>
        <v>-235631.67103749086</v>
      </c>
    </row>
    <row r="70" spans="1:11" x14ac:dyDescent="0.3">
      <c r="A70" s="99">
        <v>25</v>
      </c>
      <c r="B70" s="69">
        <v>43009</v>
      </c>
      <c r="C70" s="70">
        <f t="shared" si="13"/>
        <v>853239.77904391056</v>
      </c>
      <c r="D70" s="37">
        <f t="shared" si="10"/>
        <v>3147.4699719352952</v>
      </c>
      <c r="E70" s="37">
        <f t="shared" si="12"/>
        <v>458080.50546882307</v>
      </c>
      <c r="G70" s="99">
        <v>25</v>
      </c>
      <c r="H70" s="69">
        <v>43009</v>
      </c>
      <c r="I70" s="70">
        <f t="shared" si="14"/>
        <v>-8020.9224614506238</v>
      </c>
      <c r="J70" s="37">
        <f t="shared" si="11"/>
        <v>-381.27212485066866</v>
      </c>
      <c r="K70" s="37">
        <f t="shared" si="15"/>
        <v>-246164.44208154429</v>
      </c>
    </row>
    <row r="71" spans="1:11" x14ac:dyDescent="0.3">
      <c r="B71" s="38"/>
      <c r="C71" s="38"/>
      <c r="D71" s="38"/>
      <c r="E71" s="38"/>
    </row>
    <row r="72" spans="1:11" x14ac:dyDescent="0.3">
      <c r="A72" s="103">
        <v>26</v>
      </c>
      <c r="B72" s="42" t="s">
        <v>167</v>
      </c>
      <c r="C72" s="38"/>
      <c r="D72" s="37">
        <f>SUM(D49:D71)</f>
        <v>320297.75832117168</v>
      </c>
      <c r="E72" s="37">
        <f>SUM(E59:E70)</f>
        <v>6189126.5347685097</v>
      </c>
      <c r="G72" s="103">
        <v>26</v>
      </c>
      <c r="H72" s="42" t="s">
        <v>167</v>
      </c>
      <c r="I72" s="38"/>
      <c r="J72" s="37">
        <f>SUM(J49:J71)</f>
        <v>-133293.0498665437</v>
      </c>
      <c r="K72" s="37">
        <f>SUM(K59:K70)</f>
        <v>-2951966.0444071786</v>
      </c>
    </row>
    <row r="73" spans="1:11" x14ac:dyDescent="0.3">
      <c r="A73" s="103"/>
      <c r="B73" s="42"/>
      <c r="C73" s="38"/>
      <c r="D73" s="37"/>
      <c r="E73" s="37"/>
      <c r="G73" s="103"/>
      <c r="H73" s="42"/>
      <c r="I73" s="38"/>
      <c r="J73" s="37"/>
      <c r="K73" s="37"/>
    </row>
    <row r="74" spans="1:11" x14ac:dyDescent="0.3">
      <c r="B74" s="57" t="s">
        <v>173</v>
      </c>
      <c r="H74" s="57" t="s">
        <v>172</v>
      </c>
    </row>
    <row r="75" spans="1:11" x14ac:dyDescent="0.3">
      <c r="A75" s="103">
        <v>27</v>
      </c>
      <c r="B75" t="s">
        <v>168</v>
      </c>
      <c r="C75" s="104">
        <f>C46</f>
        <v>7167748</v>
      </c>
      <c r="G75" s="103">
        <v>27</v>
      </c>
      <c r="H75" t="s">
        <v>168</v>
      </c>
      <c r="I75" s="104">
        <f>I46</f>
        <v>-2373472</v>
      </c>
    </row>
    <row r="76" spans="1:11" x14ac:dyDescent="0.3">
      <c r="A76" s="103">
        <v>28</v>
      </c>
      <c r="B76" t="s">
        <v>169</v>
      </c>
      <c r="C76" s="104">
        <f>C47</f>
        <v>-445679.44450874766</v>
      </c>
      <c r="G76" s="103">
        <v>28</v>
      </c>
      <c r="H76" t="s">
        <v>169</v>
      </c>
      <c r="I76" s="104">
        <f>I47</f>
        <v>-453221.91700208629</v>
      </c>
    </row>
    <row r="77" spans="1:11" x14ac:dyDescent="0.3">
      <c r="A77" s="103">
        <v>29</v>
      </c>
      <c r="B77" t="s">
        <v>184</v>
      </c>
      <c r="C77" s="104">
        <f>D72</f>
        <v>320297.75832117168</v>
      </c>
      <c r="G77" s="103">
        <v>29</v>
      </c>
      <c r="H77" t="s">
        <v>184</v>
      </c>
      <c r="I77" s="104">
        <f>J72</f>
        <v>-133293.0498665437</v>
      </c>
    </row>
    <row r="78" spans="1:11" x14ac:dyDescent="0.3">
      <c r="A78" s="103">
        <v>30</v>
      </c>
      <c r="B78" t="s">
        <v>187</v>
      </c>
      <c r="C78" s="104">
        <f>(D30-D31)*E22</f>
        <v>295894.49568614364</v>
      </c>
      <c r="G78" s="103">
        <v>30</v>
      </c>
      <c r="H78" t="s">
        <v>187</v>
      </c>
      <c r="I78" s="104">
        <f>(J30-J31)*K22-I70</f>
        <v>-142809.45936957351</v>
      </c>
    </row>
    <row r="79" spans="1:11" x14ac:dyDescent="0.3">
      <c r="A79" s="103">
        <v>31</v>
      </c>
      <c r="B79" t="s">
        <v>185</v>
      </c>
      <c r="C79" s="105">
        <f>SUM(C75:C78)</f>
        <v>7338260.8094985671</v>
      </c>
      <c r="G79" s="103">
        <v>31</v>
      </c>
      <c r="H79" t="s">
        <v>186</v>
      </c>
      <c r="I79" s="105">
        <f>SUM(I75:I78)</f>
        <v>-3102796.4262382034</v>
      </c>
    </row>
    <row r="80" spans="1:11" x14ac:dyDescent="0.3">
      <c r="A80" s="103">
        <v>32</v>
      </c>
      <c r="B80" t="s">
        <v>170</v>
      </c>
      <c r="C80" s="104">
        <f>D30*E22</f>
        <v>6485021.0304546542</v>
      </c>
      <c r="G80" s="103">
        <v>32</v>
      </c>
      <c r="H80" t="s">
        <v>188</v>
      </c>
      <c r="I80" s="104">
        <f>J30*K22</f>
        <v>-3102796.426238203</v>
      </c>
    </row>
    <row r="81" spans="1:9" x14ac:dyDescent="0.3">
      <c r="A81" s="103">
        <v>33</v>
      </c>
      <c r="B81" t="s">
        <v>171</v>
      </c>
      <c r="C81" s="104">
        <f>C79-C80</f>
        <v>853239.77904391289</v>
      </c>
      <c r="G81" s="103">
        <v>33</v>
      </c>
      <c r="H81" t="s">
        <v>171</v>
      </c>
      <c r="I81" s="104">
        <f>I79-I80</f>
        <v>0</v>
      </c>
    </row>
  </sheetData>
  <customSheetViews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B38:E38"/>
    <mergeCell ref="B39:E39"/>
    <mergeCell ref="B40:E40"/>
    <mergeCell ref="B1:E1"/>
    <mergeCell ref="B2:E2"/>
    <mergeCell ref="B3:E3"/>
    <mergeCell ref="B35:E35"/>
    <mergeCell ref="B36:E36"/>
    <mergeCell ref="B24:C24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H24:I24"/>
    <mergeCell ref="B5:E5"/>
    <mergeCell ref="H5:K5"/>
    <mergeCell ref="H1:K1"/>
    <mergeCell ref="H2:K2"/>
    <mergeCell ref="H3:K3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7</oddFooter>
  </headerFooter>
  <rowBreaks count="1" manualBreakCount="1">
    <brk id="41" max="11" man="1"/>
  </rowBreaks>
  <colBreaks count="1" manualBreakCount="1">
    <brk id="6" max="80" man="1"/>
  </colBreaks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83"/>
  <sheetViews>
    <sheetView topLeftCell="A57" zoomScaleNormal="100" workbookViewId="0">
      <selection activeCell="G89" sqref="G89"/>
    </sheetView>
  </sheetViews>
  <sheetFormatPr defaultRowHeight="14.4" x14ac:dyDescent="0.3"/>
  <cols>
    <col min="1" max="1" width="7.44140625" style="97" customWidth="1"/>
    <col min="2" max="2" width="30.44140625" customWidth="1"/>
    <col min="4" max="4" width="14.5546875" hidden="1" customWidth="1"/>
    <col min="5" max="5" width="9.77734375" hidden="1" customWidth="1"/>
    <col min="6" max="6" width="8.33203125" customWidth="1"/>
    <col min="7" max="8" width="15.44140625" customWidth="1"/>
    <col min="9" max="9" width="4.5546875" customWidth="1"/>
    <col min="10" max="10" width="10.109375" customWidth="1"/>
    <col min="11" max="11" width="20.44140625" customWidth="1"/>
    <col min="12" max="12" width="17.109375" customWidth="1"/>
    <col min="13" max="13" width="16.33203125" customWidth="1"/>
    <col min="14" max="14" width="14" customWidth="1"/>
    <col min="15" max="15" width="15" customWidth="1"/>
    <col min="16" max="16" width="4.5546875" customWidth="1"/>
    <col min="17" max="17" width="25.21875" customWidth="1"/>
    <col min="18" max="18" width="16.6640625" customWidth="1"/>
    <col min="19" max="19" width="17" customWidth="1"/>
    <col min="20" max="20" width="12.44140625" customWidth="1"/>
    <col min="21" max="21" width="13.5546875" customWidth="1"/>
  </cols>
  <sheetData>
    <row r="1" spans="1:9" x14ac:dyDescent="0.3">
      <c r="B1" s="115" t="s">
        <v>0</v>
      </c>
      <c r="C1" s="115"/>
      <c r="D1" s="115"/>
      <c r="E1" s="115"/>
      <c r="F1" s="115"/>
      <c r="G1" s="115"/>
      <c r="H1" s="115"/>
      <c r="I1" s="115"/>
    </row>
    <row r="2" spans="1:9" x14ac:dyDescent="0.3">
      <c r="B2" s="115" t="s">
        <v>54</v>
      </c>
      <c r="C2" s="115"/>
      <c r="D2" s="115"/>
      <c r="E2" s="115"/>
      <c r="F2" s="115"/>
      <c r="G2" s="115"/>
      <c r="H2" s="115"/>
      <c r="I2" s="115"/>
    </row>
    <row r="3" spans="1:9" x14ac:dyDescent="0.3">
      <c r="B3" s="115" t="s">
        <v>55</v>
      </c>
      <c r="C3" s="115"/>
      <c r="D3" s="115"/>
      <c r="E3" s="115"/>
      <c r="F3" s="115"/>
      <c r="G3" s="115"/>
      <c r="H3" s="115"/>
      <c r="I3" s="115"/>
    </row>
    <row r="5" spans="1:9" x14ac:dyDescent="0.3">
      <c r="B5" s="100" t="s">
        <v>56</v>
      </c>
      <c r="C5" s="100"/>
      <c r="D5" s="100"/>
      <c r="E5" s="100"/>
      <c r="F5" s="100"/>
    </row>
    <row r="7" spans="1:9" x14ac:dyDescent="0.3">
      <c r="A7" s="97" t="s">
        <v>166</v>
      </c>
      <c r="D7" s="43" t="s">
        <v>57</v>
      </c>
      <c r="E7" s="43"/>
      <c r="F7" s="97"/>
      <c r="G7" s="43" t="s">
        <v>58</v>
      </c>
      <c r="H7" s="109"/>
      <c r="I7" s="56"/>
    </row>
    <row r="9" spans="1:9" x14ac:dyDescent="0.3">
      <c r="A9" s="97">
        <v>1</v>
      </c>
      <c r="B9" t="s">
        <v>59</v>
      </c>
      <c r="D9" s="51">
        <v>1338806000</v>
      </c>
      <c r="G9" s="51">
        <v>272971000</v>
      </c>
      <c r="H9" s="51"/>
      <c r="I9" s="51"/>
    </row>
    <row r="11" spans="1:9" x14ac:dyDescent="0.3">
      <c r="A11" s="97">
        <v>2</v>
      </c>
      <c r="B11" t="s">
        <v>60</v>
      </c>
      <c r="D11" s="51">
        <v>99114000</v>
      </c>
      <c r="G11" s="51">
        <v>16783000</v>
      </c>
      <c r="H11" s="51"/>
      <c r="I11" s="51"/>
    </row>
    <row r="12" spans="1:9" x14ac:dyDescent="0.3">
      <c r="D12" s="51"/>
    </row>
    <row r="13" spans="1:9" x14ac:dyDescent="0.3">
      <c r="A13" s="97">
        <v>3</v>
      </c>
      <c r="B13" t="s">
        <v>61</v>
      </c>
      <c r="D13" s="49">
        <f>D11/D9</f>
        <v>7.4031637145336962E-2</v>
      </c>
      <c r="G13" s="49">
        <f>G11/G9</f>
        <v>6.1482721607789836E-2</v>
      </c>
      <c r="H13" s="49"/>
      <c r="I13" s="49"/>
    </row>
    <row r="14" spans="1:9" x14ac:dyDescent="0.3">
      <c r="A14" s="97">
        <v>4</v>
      </c>
      <c r="B14" t="s">
        <v>62</v>
      </c>
      <c r="D14" s="49">
        <v>7.3200000000000001E-2</v>
      </c>
      <c r="G14" s="49">
        <v>7.3200000000000001E-2</v>
      </c>
      <c r="H14" s="49"/>
      <c r="I14" s="49"/>
    </row>
    <row r="15" spans="1:9" x14ac:dyDescent="0.3">
      <c r="A15" s="97">
        <v>5</v>
      </c>
      <c r="B15" t="s">
        <v>63</v>
      </c>
      <c r="D15" s="50">
        <f>D13-D14</f>
        <v>8.3163714533696087E-4</v>
      </c>
      <c r="G15" s="50">
        <f>G13-G14</f>
        <v>-1.1717278392210165E-2</v>
      </c>
      <c r="H15" s="50"/>
      <c r="I15" s="50"/>
    </row>
    <row r="17" spans="1:11" x14ac:dyDescent="0.3">
      <c r="A17" s="97">
        <v>6</v>
      </c>
      <c r="B17" t="s">
        <v>64</v>
      </c>
      <c r="D17" s="51">
        <f>IF(D15&gt;0,D9*D15,0)</f>
        <v>1113400.7999999952</v>
      </c>
      <c r="G17" s="51">
        <f>IF(G15&gt;0,G9*G15,0)</f>
        <v>0</v>
      </c>
      <c r="H17" s="51"/>
      <c r="I17" s="51"/>
    </row>
    <row r="18" spans="1:11" x14ac:dyDescent="0.3">
      <c r="A18" s="97">
        <v>7</v>
      </c>
      <c r="B18" t="s">
        <v>65</v>
      </c>
      <c r="D18" s="52">
        <v>0.61931199999999997</v>
      </c>
      <c r="G18" s="52">
        <v>0.61944999999999995</v>
      </c>
      <c r="H18" s="52"/>
      <c r="I18" s="52"/>
    </row>
    <row r="19" spans="1:11" x14ac:dyDescent="0.3">
      <c r="A19" s="97">
        <v>8</v>
      </c>
      <c r="B19" t="s">
        <v>66</v>
      </c>
      <c r="D19" s="51">
        <f>D17/D18</f>
        <v>1797802.7230216679</v>
      </c>
      <c r="G19" s="51">
        <f>G17/G18</f>
        <v>0</v>
      </c>
      <c r="H19" s="51"/>
      <c r="I19" s="51"/>
      <c r="J19" s="51"/>
    </row>
    <row r="20" spans="1:11" ht="15" thickBot="1" x14ac:dyDescent="0.35">
      <c r="A20" s="97">
        <v>9</v>
      </c>
      <c r="B20" t="s">
        <v>67</v>
      </c>
      <c r="D20" s="53">
        <v>0.5</v>
      </c>
      <c r="G20" s="53">
        <v>0.5</v>
      </c>
      <c r="H20" s="53"/>
      <c r="I20" s="53"/>
    </row>
    <row r="21" spans="1:11" ht="15.6" thickTop="1" thickBot="1" x14ac:dyDescent="0.35">
      <c r="A21" s="97">
        <v>10</v>
      </c>
      <c r="B21" t="s">
        <v>68</v>
      </c>
      <c r="D21" s="54">
        <f>D19*D20</f>
        <v>898901.36151083396</v>
      </c>
      <c r="G21" s="54">
        <v>0</v>
      </c>
      <c r="H21" s="62"/>
      <c r="I21" s="62"/>
    </row>
    <row r="22" spans="1:11" ht="15" thickTop="1" x14ac:dyDescent="0.3"/>
    <row r="24" spans="1:11" x14ac:dyDescent="0.3">
      <c r="B24" s="100" t="s">
        <v>86</v>
      </c>
      <c r="C24" s="100"/>
      <c r="D24" s="100"/>
      <c r="E24" s="100"/>
      <c r="F24" s="100"/>
      <c r="G24" s="100"/>
      <c r="H24" s="100"/>
      <c r="I24" s="100"/>
    </row>
    <row r="26" spans="1:11" x14ac:dyDescent="0.3">
      <c r="A26" s="97">
        <v>11</v>
      </c>
      <c r="B26" t="s">
        <v>69</v>
      </c>
      <c r="D26" s="85">
        <v>216224542</v>
      </c>
      <c r="E26" s="49">
        <f>D26/D30</f>
        <v>0.49580461615907356</v>
      </c>
      <c r="F26" s="49"/>
      <c r="G26" s="85">
        <v>116284996</v>
      </c>
      <c r="H26" s="49">
        <f>G26/G30</f>
        <v>0.75882679845758572</v>
      </c>
      <c r="K26" t="s">
        <v>163</v>
      </c>
    </row>
    <row r="27" spans="1:11" x14ac:dyDescent="0.3">
      <c r="D27" s="86"/>
      <c r="G27" s="86"/>
      <c r="J27" s="49"/>
    </row>
    <row r="28" spans="1:11" x14ac:dyDescent="0.3">
      <c r="A28" s="97">
        <v>12</v>
      </c>
      <c r="B28" t="s">
        <v>70</v>
      </c>
      <c r="D28" s="85">
        <f>73893875+133256495+12733456</f>
        <v>219883826</v>
      </c>
      <c r="E28" s="49">
        <f>D28/D30</f>
        <v>0.50419538384092644</v>
      </c>
      <c r="F28" s="49"/>
      <c r="G28" s="85">
        <f>33950044+3372711-364618</f>
        <v>36958137</v>
      </c>
      <c r="H28" s="49">
        <f>G28/G30</f>
        <v>0.24117320154241431</v>
      </c>
    </row>
    <row r="29" spans="1:11" x14ac:dyDescent="0.3">
      <c r="J29" s="49"/>
    </row>
    <row r="30" spans="1:11" x14ac:dyDescent="0.3">
      <c r="A30" s="97">
        <v>13</v>
      </c>
      <c r="B30" t="s">
        <v>71</v>
      </c>
      <c r="D30" s="51">
        <f>D26+D28</f>
        <v>436108368</v>
      </c>
      <c r="E30" s="50">
        <f>E26+E28</f>
        <v>1</v>
      </c>
      <c r="F30" s="50"/>
      <c r="G30" s="51">
        <f>G26+G28</f>
        <v>153243133</v>
      </c>
      <c r="H30" s="50">
        <f>H26+H28</f>
        <v>1</v>
      </c>
    </row>
    <row r="31" spans="1:11" x14ac:dyDescent="0.3">
      <c r="J31" s="50"/>
    </row>
    <row r="32" spans="1:11" x14ac:dyDescent="0.3">
      <c r="B32" s="57" t="s">
        <v>72</v>
      </c>
    </row>
    <row r="33" spans="1:11" x14ac:dyDescent="0.3">
      <c r="A33" s="97">
        <v>14</v>
      </c>
      <c r="B33" t="s">
        <v>74</v>
      </c>
      <c r="D33" s="51">
        <f>D21*E26</f>
        <v>445679.44450874766</v>
      </c>
      <c r="G33" s="51">
        <f>G21*H26</f>
        <v>0</v>
      </c>
      <c r="H33" s="51"/>
    </row>
    <row r="34" spans="1:11" x14ac:dyDescent="0.3">
      <c r="A34" s="97">
        <v>15</v>
      </c>
      <c r="B34" t="s">
        <v>108</v>
      </c>
      <c r="D34" s="51">
        <f>D21*E28</f>
        <v>453221.91700208629</v>
      </c>
      <c r="G34" s="51">
        <f>G21*H28</f>
        <v>0</v>
      </c>
      <c r="H34" s="51"/>
    </row>
    <row r="35" spans="1:11" x14ac:dyDescent="0.3">
      <c r="A35" s="97">
        <v>16</v>
      </c>
      <c r="B35" t="s">
        <v>73</v>
      </c>
      <c r="D35" s="55">
        <f>SUM(D33:D34)</f>
        <v>898901.36151083396</v>
      </c>
      <c r="G35" s="55">
        <f>SUM(G33:G34)</f>
        <v>0</v>
      </c>
      <c r="H35" s="110"/>
    </row>
    <row r="37" spans="1:11" ht="32.4" customHeight="1" x14ac:dyDescent="0.3">
      <c r="A37" s="97" t="s">
        <v>166</v>
      </c>
      <c r="B37" s="101" t="s">
        <v>80</v>
      </c>
      <c r="D37" s="97" t="s">
        <v>57</v>
      </c>
      <c r="G37" s="109" t="s">
        <v>58</v>
      </c>
      <c r="H37" s="109"/>
    </row>
    <row r="38" spans="1:11" x14ac:dyDescent="0.3">
      <c r="B38" t="s">
        <v>87</v>
      </c>
    </row>
    <row r="39" spans="1:11" x14ac:dyDescent="0.3">
      <c r="A39" s="97">
        <v>1</v>
      </c>
      <c r="B39" t="s">
        <v>74</v>
      </c>
      <c r="D39" s="94">
        <f>'Electric 2015 Rate Calc'!E22</f>
        <v>2465787464.0511994</v>
      </c>
      <c r="E39" s="86"/>
      <c r="F39" s="86"/>
      <c r="G39" s="94">
        <f>'Nat Gas 2015 Rate Calc'!E22</f>
        <v>119200012.61884864</v>
      </c>
      <c r="H39" s="94"/>
      <c r="K39" t="s">
        <v>164</v>
      </c>
    </row>
    <row r="40" spans="1:11" x14ac:dyDescent="0.3">
      <c r="A40" s="97">
        <v>2</v>
      </c>
      <c r="B40" t="s">
        <v>108</v>
      </c>
      <c r="D40" s="94">
        <f>'Electric 2015 Rate Calc'!K22</f>
        <v>2154719740.4431963</v>
      </c>
      <c r="E40" s="86"/>
      <c r="F40" s="86"/>
      <c r="G40" s="94">
        <f>'Nat Gas 2015 Rate Calc'!K22</f>
        <v>52601463.817178227</v>
      </c>
      <c r="H40" s="94"/>
    </row>
    <row r="41" spans="1:11" ht="6" customHeight="1" x14ac:dyDescent="0.3"/>
    <row r="42" spans="1:11" x14ac:dyDescent="0.3">
      <c r="B42" t="s">
        <v>75</v>
      </c>
    </row>
    <row r="43" spans="1:11" x14ac:dyDescent="0.3">
      <c r="A43" s="97">
        <v>3</v>
      </c>
      <c r="B43" t="s">
        <v>74</v>
      </c>
      <c r="D43" s="60">
        <f>'Electric 2015 Rate Calc'!D28</f>
        <v>2.98E-3</v>
      </c>
      <c r="G43" s="60">
        <f>'Nat Gas 2015 Rate Calc'!D28</f>
        <v>4.87E-2</v>
      </c>
      <c r="H43" s="60"/>
    </row>
    <row r="44" spans="1:11" x14ac:dyDescent="0.3">
      <c r="A44" s="97">
        <v>4</v>
      </c>
      <c r="B44" t="s">
        <v>108</v>
      </c>
      <c r="D44" s="60">
        <f>'Electric 2015 Rate Calc'!J28</f>
        <v>-1.4400000000000001E-3</v>
      </c>
      <c r="G44" s="60">
        <f>'Nat Gas 2015 Rate Calc'!J28</f>
        <v>3.6119999999999999E-2</v>
      </c>
      <c r="H44" s="60"/>
    </row>
    <row r="45" spans="1:11" ht="6" customHeight="1" x14ac:dyDescent="0.3"/>
    <row r="46" spans="1:11" x14ac:dyDescent="0.3">
      <c r="B46" t="s">
        <v>77</v>
      </c>
    </row>
    <row r="47" spans="1:11" x14ac:dyDescent="0.3">
      <c r="A47" s="97">
        <v>5</v>
      </c>
      <c r="B47" t="s">
        <v>74</v>
      </c>
      <c r="D47" s="60">
        <v>0</v>
      </c>
      <c r="G47" s="60">
        <v>0</v>
      </c>
      <c r="H47" s="60"/>
    </row>
    <row r="48" spans="1:11" x14ac:dyDescent="0.3">
      <c r="A48" s="97">
        <v>6</v>
      </c>
      <c r="B48" t="s">
        <v>108</v>
      </c>
      <c r="D48" s="60">
        <v>0</v>
      </c>
      <c r="G48" s="60">
        <v>0</v>
      </c>
      <c r="H48" s="60"/>
    </row>
    <row r="49" spans="1:8" ht="6" customHeight="1" x14ac:dyDescent="0.3"/>
    <row r="50" spans="1:8" x14ac:dyDescent="0.3">
      <c r="B50" t="s">
        <v>78</v>
      </c>
    </row>
    <row r="51" spans="1:8" x14ac:dyDescent="0.3">
      <c r="A51" s="97">
        <v>7</v>
      </c>
      <c r="B51" t="s">
        <v>74</v>
      </c>
      <c r="D51" s="60">
        <f>D43-D47</f>
        <v>2.98E-3</v>
      </c>
      <c r="G51" s="60">
        <f>G43-G47</f>
        <v>4.87E-2</v>
      </c>
      <c r="H51" s="60"/>
    </row>
    <row r="52" spans="1:8" x14ac:dyDescent="0.3">
      <c r="A52" s="97">
        <v>8</v>
      </c>
      <c r="B52" t="s">
        <v>108</v>
      </c>
      <c r="D52" s="60">
        <f>D44-D48</f>
        <v>-1.4400000000000001E-3</v>
      </c>
      <c r="G52" s="60">
        <f>G44-G48</f>
        <v>3.6119999999999999E-2</v>
      </c>
      <c r="H52" s="60"/>
    </row>
    <row r="53" spans="1:8" ht="6" customHeight="1" x14ac:dyDescent="0.3"/>
    <row r="54" spans="1:8" x14ac:dyDescent="0.3">
      <c r="A54" s="97">
        <v>9</v>
      </c>
      <c r="B54" t="s">
        <v>79</v>
      </c>
      <c r="D54" s="58">
        <f>D55+D56</f>
        <v>4245250.2166343722</v>
      </c>
      <c r="G54" s="58">
        <f>G55+G56</f>
        <v>7705005.4876144063</v>
      </c>
      <c r="H54" s="58"/>
    </row>
    <row r="55" spans="1:8" x14ac:dyDescent="0.3">
      <c r="A55" s="97">
        <v>10</v>
      </c>
      <c r="B55" t="s">
        <v>74</v>
      </c>
      <c r="D55" s="58">
        <f>D51*D39</f>
        <v>7348046.6428725747</v>
      </c>
      <c r="G55" s="58">
        <f>G51*G39</f>
        <v>5805040.6145379283</v>
      </c>
      <c r="H55" s="58"/>
    </row>
    <row r="56" spans="1:8" x14ac:dyDescent="0.3">
      <c r="A56" s="97">
        <v>11</v>
      </c>
      <c r="B56" t="s">
        <v>108</v>
      </c>
      <c r="D56" s="58">
        <f>D52*D40</f>
        <v>-3102796.426238203</v>
      </c>
      <c r="G56" s="58">
        <f>G52*G40</f>
        <v>1899964.8730764776</v>
      </c>
      <c r="H56" s="58"/>
    </row>
    <row r="57" spans="1:8" ht="6" customHeight="1" x14ac:dyDescent="0.3">
      <c r="D57" s="58"/>
      <c r="G57" s="58"/>
      <c r="H57" s="58"/>
    </row>
    <row r="58" spans="1:8" ht="14.4" customHeight="1" x14ac:dyDescent="0.3">
      <c r="B58" t="s">
        <v>81</v>
      </c>
      <c r="D58" s="61"/>
      <c r="G58" s="61"/>
      <c r="H58" s="61"/>
    </row>
    <row r="59" spans="1:8" x14ac:dyDescent="0.3">
      <c r="A59" s="97">
        <v>12</v>
      </c>
      <c r="B59" t="s">
        <v>74</v>
      </c>
      <c r="D59" s="61">
        <f>D55/D26</f>
        <v>3.3983407132723048E-2</v>
      </c>
      <c r="G59" s="61">
        <f>G55/G26</f>
        <v>4.992080504124477E-2</v>
      </c>
      <c r="H59" s="61"/>
    </row>
    <row r="60" spans="1:8" ht="15" customHeight="1" x14ac:dyDescent="0.3">
      <c r="A60" s="97">
        <v>13</v>
      </c>
      <c r="B60" t="s">
        <v>108</v>
      </c>
      <c r="D60" s="61">
        <f>D56/D28</f>
        <v>-1.4111071663079953E-2</v>
      </c>
      <c r="G60" s="61">
        <f>G56/G28</f>
        <v>5.1408567295382818E-2</v>
      </c>
      <c r="H60" s="61"/>
    </row>
    <row r="61" spans="1:8" ht="6" customHeight="1" x14ac:dyDescent="0.3"/>
    <row r="62" spans="1:8" x14ac:dyDescent="0.3">
      <c r="B62" t="s">
        <v>106</v>
      </c>
      <c r="D62" s="51"/>
      <c r="G62" s="51"/>
      <c r="H62" s="51"/>
    </row>
    <row r="63" spans="1:8" x14ac:dyDescent="0.3">
      <c r="A63" s="97">
        <v>14</v>
      </c>
      <c r="B63" t="s">
        <v>74</v>
      </c>
      <c r="D63" s="51">
        <f>IF(D59&gt;0.03,D26*0.03-D55,0)</f>
        <v>-861310.38287257496</v>
      </c>
      <c r="G63" s="51">
        <f>IF(G59&gt;0.03,G26*0.03-G55,0)</f>
        <v>-2316490.7345379284</v>
      </c>
      <c r="H63" s="51"/>
    </row>
    <row r="64" spans="1:8" x14ac:dyDescent="0.3">
      <c r="A64" s="97">
        <v>15</v>
      </c>
      <c r="B64" t="s">
        <v>108</v>
      </c>
      <c r="D64" s="51">
        <f>IF(D52&gt;0.03,D28*0.03-D56,0)</f>
        <v>0</v>
      </c>
      <c r="G64" s="51">
        <f>IF(G52&gt;0.03,G28*0.03-G56,0)</f>
        <v>-791220.76307647768</v>
      </c>
      <c r="H64" s="51"/>
    </row>
    <row r="65" spans="1:9" ht="6.6" customHeight="1" x14ac:dyDescent="0.3"/>
    <row r="66" spans="1:9" x14ac:dyDescent="0.3">
      <c r="B66" t="s">
        <v>82</v>
      </c>
    </row>
    <row r="67" spans="1:9" x14ac:dyDescent="0.3">
      <c r="A67" s="97">
        <v>16</v>
      </c>
      <c r="B67" t="s">
        <v>74</v>
      </c>
      <c r="D67" s="60">
        <f>ROUND(D63/D39,5)</f>
        <v>-3.5E-4</v>
      </c>
      <c r="G67" s="60">
        <f>ROUND(G63/G39,5)</f>
        <v>-1.9429999999999999E-2</v>
      </c>
      <c r="H67" s="60"/>
      <c r="I67" s="63"/>
    </row>
    <row r="68" spans="1:9" x14ac:dyDescent="0.3">
      <c r="A68" s="97">
        <v>17</v>
      </c>
      <c r="B68" t="s">
        <v>108</v>
      </c>
      <c r="D68" s="60">
        <f>ROUND(D64/D40,5)</f>
        <v>0</v>
      </c>
      <c r="G68" s="60">
        <f>ROUND(G64/G40,5)</f>
        <v>-1.504E-2</v>
      </c>
      <c r="H68" s="60"/>
    </row>
    <row r="69" spans="1:9" ht="6" customHeight="1" x14ac:dyDescent="0.3"/>
    <row r="70" spans="1:9" x14ac:dyDescent="0.3">
      <c r="B70" t="s">
        <v>83</v>
      </c>
    </row>
    <row r="71" spans="1:9" x14ac:dyDescent="0.3">
      <c r="A71" s="97">
        <v>18</v>
      </c>
      <c r="B71" t="s">
        <v>74</v>
      </c>
      <c r="D71" s="60">
        <f>D43+D67</f>
        <v>2.63E-3</v>
      </c>
      <c r="G71" s="60">
        <f>G43+G67</f>
        <v>2.9270000000000001E-2</v>
      </c>
      <c r="H71" s="60"/>
    </row>
    <row r="72" spans="1:9" x14ac:dyDescent="0.3">
      <c r="A72" s="97">
        <v>19</v>
      </c>
      <c r="B72" t="s">
        <v>108</v>
      </c>
      <c r="D72" s="60">
        <f>D44+D68</f>
        <v>-1.4400000000000001E-3</v>
      </c>
      <c r="G72" s="60">
        <f>G44+G68</f>
        <v>2.1080000000000002E-2</v>
      </c>
      <c r="H72" s="60"/>
    </row>
    <row r="73" spans="1:9" ht="6" customHeight="1" x14ac:dyDescent="0.3"/>
    <row r="74" spans="1:9" x14ac:dyDescent="0.3">
      <c r="A74" s="97">
        <v>20</v>
      </c>
      <c r="B74" t="s">
        <v>84</v>
      </c>
      <c r="D74" s="64">
        <f>D75+D76</f>
        <v>3382224.6042164513</v>
      </c>
      <c r="G74" s="64">
        <f>G75+G76</f>
        <v>4597823.2266198164</v>
      </c>
      <c r="H74" s="64"/>
    </row>
    <row r="75" spans="1:9" x14ac:dyDescent="0.3">
      <c r="A75" s="97">
        <v>21</v>
      </c>
      <c r="B75" t="s">
        <v>74</v>
      </c>
      <c r="D75" s="64">
        <f>D71*D39</f>
        <v>6485021.0304546542</v>
      </c>
      <c r="G75" s="64">
        <f>G71*G39</f>
        <v>3488984.3693536995</v>
      </c>
      <c r="H75" s="64"/>
    </row>
    <row r="76" spans="1:9" x14ac:dyDescent="0.3">
      <c r="A76" s="97">
        <v>22</v>
      </c>
      <c r="B76" t="s">
        <v>108</v>
      </c>
      <c r="D76" s="64">
        <f>D72*D40</f>
        <v>-3102796.426238203</v>
      </c>
      <c r="G76" s="64">
        <f>G72*G40</f>
        <v>1108838.8572661171</v>
      </c>
      <c r="H76" s="64"/>
    </row>
    <row r="77" spans="1:9" ht="6" customHeight="1" x14ac:dyDescent="0.3">
      <c r="D77" s="64"/>
      <c r="G77" s="64"/>
      <c r="H77" s="64"/>
    </row>
    <row r="78" spans="1:9" ht="14.4" customHeight="1" x14ac:dyDescent="0.3">
      <c r="B78" t="s">
        <v>85</v>
      </c>
    </row>
    <row r="79" spans="1:9" x14ac:dyDescent="0.3">
      <c r="A79" s="97">
        <v>23</v>
      </c>
      <c r="B79" t="s">
        <v>74</v>
      </c>
      <c r="D79" s="61">
        <f>D75/D26</f>
        <v>2.9992067368812624E-2</v>
      </c>
      <c r="G79" s="61">
        <f>G75/G26</f>
        <v>3.000373641801303E-2</v>
      </c>
      <c r="H79" s="61"/>
    </row>
    <row r="80" spans="1:9" x14ac:dyDescent="0.3">
      <c r="A80" s="97">
        <v>24</v>
      </c>
      <c r="B80" t="s">
        <v>108</v>
      </c>
      <c r="D80" s="61">
        <f>D76/D28</f>
        <v>-1.4111071663079953E-2</v>
      </c>
      <c r="G80" s="61">
        <f>G76/G28</f>
        <v>3.0002563637504701E-2</v>
      </c>
      <c r="H80" s="61"/>
    </row>
    <row r="81" spans="2:9" ht="6" customHeight="1" x14ac:dyDescent="0.3"/>
    <row r="82" spans="2:9" x14ac:dyDescent="0.3">
      <c r="B82" t="s">
        <v>91</v>
      </c>
    </row>
    <row r="83" spans="2:9" ht="43.2" customHeight="1" x14ac:dyDescent="0.3">
      <c r="B83" s="122" t="s">
        <v>165</v>
      </c>
      <c r="C83" s="122"/>
      <c r="D83" s="122"/>
      <c r="E83" s="122"/>
      <c r="F83" s="122"/>
      <c r="G83" s="122"/>
      <c r="H83" s="122"/>
      <c r="I83" s="122"/>
    </row>
  </sheetData>
  <customSheetViews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1"/>
    </customSheetView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2"/>
    </customSheetView>
  </customSheetViews>
  <mergeCells count="4">
    <mergeCell ref="B83:I83"/>
    <mergeCell ref="B1:I1"/>
    <mergeCell ref="B2:I2"/>
    <mergeCell ref="B3:I3"/>
  </mergeCells>
  <printOptions horizontalCentered="1"/>
  <pageMargins left="0.7" right="0.7" top="0.75" bottom="0.75" header="0.3" footer="0.3"/>
  <pageSetup scale="95" firstPageNumber="5" orientation="portrait" useFirstPageNumber="1" r:id="rId3"/>
  <headerFooter>
    <oddFooter>&amp;CATTACHMENT A&amp;RPage &amp;P of 7</oddFooter>
  </headerFooter>
  <rowBreaks count="1" manualBreakCount="1">
    <brk id="3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15"/>
  <sheetViews>
    <sheetView topLeftCell="F89" zoomScaleNormal="100" workbookViewId="0">
      <selection activeCell="O112" sqref="O112"/>
    </sheetView>
  </sheetViews>
  <sheetFormatPr defaultRowHeight="14.4" x14ac:dyDescent="0.3"/>
  <cols>
    <col min="1" max="1" width="6.44140625" hidden="1" customWidth="1"/>
    <col min="2" max="2" width="2.109375" hidden="1" customWidth="1"/>
    <col min="3" max="3" width="37.21875" hidden="1" customWidth="1"/>
    <col min="4" max="4" width="0" hidden="1" customWidth="1"/>
    <col min="5" max="5" width="11.44140625" hidden="1" customWidth="1"/>
    <col min="6" max="6" width="2.33203125" customWidth="1"/>
    <col min="7" max="7" width="6.5546875" customWidth="1"/>
    <col min="8" max="8" width="2.44140625" customWidth="1"/>
    <col min="9" max="9" width="34.33203125" customWidth="1"/>
    <col min="10" max="10" width="8.88671875" customWidth="1"/>
    <col min="11" max="11" width="12.5546875" customWidth="1"/>
    <col min="12" max="12" width="3" customWidth="1"/>
  </cols>
  <sheetData>
    <row r="1" spans="1:11" hidden="1" x14ac:dyDescent="0.3">
      <c r="A1" s="1" t="s">
        <v>17</v>
      </c>
      <c r="B1" s="1"/>
      <c r="C1" s="1"/>
      <c r="D1" s="1"/>
      <c r="E1" s="2"/>
      <c r="G1" s="123" t="s">
        <v>17</v>
      </c>
      <c r="H1" s="123"/>
      <c r="I1" s="123"/>
      <c r="J1" s="123"/>
      <c r="K1" s="123"/>
    </row>
    <row r="2" spans="1:11" hidden="1" x14ac:dyDescent="0.3">
      <c r="A2" s="123" t="s">
        <v>18</v>
      </c>
      <c r="B2" s="123"/>
      <c r="C2" s="123"/>
      <c r="D2" s="123"/>
      <c r="E2" s="123"/>
      <c r="G2" s="1" t="s">
        <v>18</v>
      </c>
      <c r="H2" s="1"/>
      <c r="I2" s="1"/>
      <c r="J2" s="1"/>
      <c r="K2" s="2"/>
    </row>
    <row r="3" spans="1:11" hidden="1" x14ac:dyDescent="0.3">
      <c r="A3" s="123" t="s">
        <v>19</v>
      </c>
      <c r="B3" s="123"/>
      <c r="C3" s="123"/>
      <c r="D3" s="123"/>
      <c r="E3" s="123"/>
      <c r="G3" s="1" t="s">
        <v>35</v>
      </c>
      <c r="H3" s="1"/>
      <c r="I3" s="1"/>
      <c r="J3" s="1"/>
      <c r="K3" s="2"/>
    </row>
    <row r="4" spans="1:11" ht="15.6" hidden="1" x14ac:dyDescent="0.3">
      <c r="A4" s="123" t="s">
        <v>20</v>
      </c>
      <c r="B4" s="124"/>
      <c r="C4" s="123"/>
      <c r="D4" s="123"/>
      <c r="E4" s="123"/>
      <c r="G4" s="1" t="s">
        <v>20</v>
      </c>
      <c r="H4" s="1"/>
      <c r="I4" s="1"/>
      <c r="J4" s="1"/>
      <c r="K4" s="2"/>
    </row>
    <row r="5" spans="1:11" hidden="1" x14ac:dyDescent="0.3">
      <c r="A5" s="3"/>
      <c r="B5" s="3"/>
      <c r="C5" s="3"/>
      <c r="D5" s="3"/>
      <c r="E5" s="4"/>
      <c r="G5" s="3"/>
      <c r="H5" s="3"/>
      <c r="I5" s="3"/>
      <c r="J5" s="3"/>
      <c r="K5" s="4"/>
    </row>
    <row r="6" spans="1:11" hidden="1" x14ac:dyDescent="0.3">
      <c r="A6" s="5" t="s">
        <v>21</v>
      </c>
      <c r="B6" s="5"/>
      <c r="C6" s="5"/>
      <c r="D6" s="5"/>
      <c r="E6" s="6"/>
      <c r="G6" s="5" t="s">
        <v>21</v>
      </c>
      <c r="H6" s="5"/>
      <c r="I6" s="5"/>
      <c r="J6" s="5"/>
      <c r="K6" s="6"/>
    </row>
    <row r="7" spans="1:11" hidden="1" x14ac:dyDescent="0.3">
      <c r="A7" s="7" t="s">
        <v>22</v>
      </c>
      <c r="B7" s="5"/>
      <c r="C7" s="7" t="s">
        <v>23</v>
      </c>
      <c r="D7" s="8"/>
      <c r="E7" s="9" t="s">
        <v>24</v>
      </c>
      <c r="G7" s="7" t="s">
        <v>22</v>
      </c>
      <c r="H7" s="5"/>
      <c r="I7" s="7" t="s">
        <v>23</v>
      </c>
      <c r="J7" s="8"/>
      <c r="K7" s="9" t="s">
        <v>24</v>
      </c>
    </row>
    <row r="8" spans="1:11" hidden="1" x14ac:dyDescent="0.3">
      <c r="A8" s="3"/>
      <c r="B8" s="3"/>
      <c r="C8" s="3"/>
      <c r="D8" s="3"/>
      <c r="E8" s="4"/>
      <c r="G8" s="3"/>
      <c r="H8" s="3"/>
      <c r="I8" s="3"/>
      <c r="J8" s="3"/>
      <c r="K8" s="4"/>
    </row>
    <row r="9" spans="1:11" hidden="1" x14ac:dyDescent="0.3">
      <c r="A9" s="10">
        <v>1</v>
      </c>
      <c r="B9" s="3"/>
      <c r="C9" s="11" t="s">
        <v>25</v>
      </c>
      <c r="D9" s="3"/>
      <c r="E9" s="12">
        <v>1</v>
      </c>
      <c r="G9" s="10">
        <v>1</v>
      </c>
      <c r="H9" s="3"/>
      <c r="I9" s="11" t="s">
        <v>25</v>
      </c>
      <c r="J9" s="3"/>
      <c r="K9" s="12">
        <v>1</v>
      </c>
    </row>
    <row r="10" spans="1:11" hidden="1" x14ac:dyDescent="0.3">
      <c r="A10" s="10"/>
      <c r="B10" s="3"/>
      <c r="C10" s="3"/>
      <c r="D10" s="3"/>
      <c r="E10" s="12"/>
      <c r="G10" s="10"/>
      <c r="H10" s="3"/>
      <c r="I10" s="3"/>
      <c r="J10" s="3"/>
      <c r="K10" s="12"/>
    </row>
    <row r="11" spans="1:11" hidden="1" x14ac:dyDescent="0.3">
      <c r="A11" s="10"/>
      <c r="B11" s="3"/>
      <c r="C11" s="13" t="s">
        <v>26</v>
      </c>
      <c r="D11" s="14"/>
      <c r="E11" s="12"/>
      <c r="G11" s="10"/>
      <c r="H11" s="3"/>
      <c r="I11" s="13" t="s">
        <v>26</v>
      </c>
      <c r="J11" s="14"/>
      <c r="K11" s="12"/>
    </row>
    <row r="12" spans="1:11" hidden="1" x14ac:dyDescent="0.3">
      <c r="A12" s="10">
        <v>2</v>
      </c>
      <c r="B12" s="3"/>
      <c r="C12" s="14" t="s">
        <v>27</v>
      </c>
      <c r="D12" s="14"/>
      <c r="E12" s="14">
        <v>4.849E-3</v>
      </c>
      <c r="G12" s="10">
        <v>2</v>
      </c>
      <c r="H12" s="3"/>
      <c r="I12" s="14" t="s">
        <v>27</v>
      </c>
      <c r="J12" s="14"/>
      <c r="K12" s="14">
        <v>4.8500000000000001E-3</v>
      </c>
    </row>
    <row r="13" spans="1:11" hidden="1" x14ac:dyDescent="0.3">
      <c r="A13" s="10"/>
      <c r="B13" s="3"/>
      <c r="C13" s="14"/>
      <c r="D13" s="14"/>
      <c r="E13" s="14"/>
      <c r="G13" s="10"/>
      <c r="H13" s="3"/>
      <c r="I13" s="14"/>
      <c r="J13" s="14"/>
      <c r="K13" s="14"/>
    </row>
    <row r="14" spans="1:11" hidden="1" x14ac:dyDescent="0.3">
      <c r="A14" s="10">
        <v>3</v>
      </c>
      <c r="B14" s="3"/>
      <c r="C14" s="14" t="s">
        <v>28</v>
      </c>
      <c r="D14" s="14"/>
      <c r="E14" s="14">
        <v>2E-3</v>
      </c>
      <c r="G14" s="10">
        <v>3</v>
      </c>
      <c r="H14" s="3"/>
      <c r="I14" s="14" t="s">
        <v>28</v>
      </c>
      <c r="J14" s="14"/>
      <c r="K14" s="14">
        <v>2E-3</v>
      </c>
    </row>
    <row r="15" spans="1:11" hidden="1" x14ac:dyDescent="0.3">
      <c r="A15" s="10"/>
      <c r="B15" s="3"/>
      <c r="C15" s="14"/>
      <c r="D15" s="14"/>
      <c r="E15" s="14"/>
      <c r="G15" s="10"/>
      <c r="H15" s="3"/>
      <c r="I15" s="14"/>
      <c r="J15" s="14"/>
      <c r="K15" s="14"/>
    </row>
    <row r="16" spans="1:11" hidden="1" x14ac:dyDescent="0.3">
      <c r="A16" s="10">
        <v>4</v>
      </c>
      <c r="B16" s="3"/>
      <c r="C16" s="14" t="s">
        <v>29</v>
      </c>
      <c r="D16" s="14"/>
      <c r="E16" s="14">
        <v>3.8545999999999997E-2</v>
      </c>
      <c r="G16" s="10">
        <v>4</v>
      </c>
      <c r="H16" s="3"/>
      <c r="I16" s="14" t="s">
        <v>29</v>
      </c>
      <c r="J16" s="14"/>
      <c r="K16" s="14">
        <v>3.8332999999999999E-2</v>
      </c>
    </row>
    <row r="17" spans="1:11" ht="15" hidden="1" thickBot="1" x14ac:dyDescent="0.35">
      <c r="A17" s="10"/>
      <c r="B17" s="3"/>
      <c r="C17" s="14"/>
      <c r="D17" s="14"/>
      <c r="E17" s="14"/>
      <c r="G17" s="10"/>
      <c r="H17" s="3"/>
      <c r="I17" s="14"/>
      <c r="J17" s="14"/>
      <c r="K17" s="14"/>
    </row>
    <row r="18" spans="1:11" ht="15" hidden="1" thickBot="1" x14ac:dyDescent="0.35">
      <c r="A18" s="10">
        <v>5</v>
      </c>
      <c r="B18" s="3"/>
      <c r="C18" s="14" t="s">
        <v>30</v>
      </c>
      <c r="D18" s="14"/>
      <c r="E18" s="22">
        <f>SUM(E12:E16)</f>
        <v>4.5394999999999998E-2</v>
      </c>
      <c r="G18" s="10">
        <v>5</v>
      </c>
      <c r="H18" s="3"/>
      <c r="I18" s="14" t="s">
        <v>30</v>
      </c>
      <c r="J18" s="14"/>
      <c r="K18" s="15">
        <f>SUM(K12:K16)</f>
        <v>4.5183000000000001E-2</v>
      </c>
    </row>
    <row r="19" spans="1:11" hidden="1" x14ac:dyDescent="0.3">
      <c r="A19" s="10"/>
      <c r="B19" s="3"/>
      <c r="C19" s="14"/>
      <c r="D19" s="14"/>
      <c r="E19" s="16"/>
      <c r="G19" s="10"/>
      <c r="H19" s="3"/>
      <c r="I19" s="14"/>
      <c r="J19" s="14"/>
      <c r="K19" s="16"/>
    </row>
    <row r="20" spans="1:11" hidden="1" x14ac:dyDescent="0.3">
      <c r="A20" s="10">
        <v>6</v>
      </c>
      <c r="B20" s="3"/>
      <c r="C20" s="14" t="s">
        <v>31</v>
      </c>
      <c r="D20" s="14"/>
      <c r="E20" s="16">
        <f>E9-E18</f>
        <v>0.95460500000000004</v>
      </c>
      <c r="G20" s="10">
        <v>6</v>
      </c>
      <c r="H20" s="3"/>
      <c r="I20" s="14" t="s">
        <v>31</v>
      </c>
      <c r="J20" s="14"/>
      <c r="K20" s="16">
        <f>K9-K18</f>
        <v>0.95481700000000003</v>
      </c>
    </row>
    <row r="21" spans="1:11" hidden="1" x14ac:dyDescent="0.3">
      <c r="A21" s="3"/>
      <c r="B21" s="3"/>
      <c r="C21" s="14"/>
      <c r="D21" s="14"/>
      <c r="E21" s="16"/>
      <c r="G21" s="3"/>
      <c r="H21" s="3"/>
      <c r="I21" s="14"/>
      <c r="J21" s="14"/>
      <c r="K21" s="16"/>
    </row>
    <row r="22" spans="1:11" hidden="1" x14ac:dyDescent="0.3">
      <c r="A22" s="10">
        <v>7</v>
      </c>
      <c r="B22" s="3"/>
      <c r="C22" s="14" t="s">
        <v>32</v>
      </c>
      <c r="D22" s="17"/>
      <c r="E22" s="18">
        <f>ROUND(E20*0.35,6)</f>
        <v>0.33411200000000002</v>
      </c>
      <c r="G22" s="10">
        <v>7</v>
      </c>
      <c r="H22" s="3"/>
      <c r="I22" s="14" t="s">
        <v>32</v>
      </c>
      <c r="J22" s="17"/>
      <c r="K22" s="18">
        <f>ROUND(K20*0.35,6)</f>
        <v>0.33418599999999998</v>
      </c>
    </row>
    <row r="23" spans="1:11" hidden="1" x14ac:dyDescent="0.3">
      <c r="A23" s="3"/>
      <c r="B23" s="3"/>
      <c r="C23" s="14"/>
      <c r="D23" s="14"/>
      <c r="E23" s="16"/>
      <c r="G23" s="3"/>
      <c r="H23" s="3"/>
      <c r="I23" s="14"/>
      <c r="J23" s="14"/>
      <c r="K23" s="16"/>
    </row>
    <row r="24" spans="1:11" ht="15" hidden="1" thickBot="1" x14ac:dyDescent="0.35">
      <c r="A24" s="10">
        <v>8</v>
      </c>
      <c r="B24" s="3"/>
      <c r="C24" s="13" t="s">
        <v>33</v>
      </c>
      <c r="D24" s="14"/>
      <c r="E24" s="19">
        <f>ROUND(E20-E22,5)</f>
        <v>0.62048999999999999</v>
      </c>
      <c r="G24" s="10">
        <v>8</v>
      </c>
      <c r="H24" s="3"/>
      <c r="I24" s="13" t="s">
        <v>33</v>
      </c>
      <c r="J24" s="14"/>
      <c r="K24" s="21">
        <f>ROUND(K20-K22,5)</f>
        <v>0.62063000000000001</v>
      </c>
    </row>
    <row r="25" spans="1:11" ht="15" hidden="1" thickTop="1" x14ac:dyDescent="0.3">
      <c r="A25" s="20"/>
      <c r="B25" s="20"/>
      <c r="C25" s="20"/>
      <c r="D25" s="20"/>
      <c r="E25" s="20"/>
    </row>
    <row r="26" spans="1:11" hidden="1" x14ac:dyDescent="0.3">
      <c r="C26" t="s">
        <v>34</v>
      </c>
      <c r="I26" t="s">
        <v>36</v>
      </c>
    </row>
    <row r="27" spans="1:11" hidden="1" x14ac:dyDescent="0.3">
      <c r="C27" t="s">
        <v>37</v>
      </c>
      <c r="I27" t="s">
        <v>37</v>
      </c>
    </row>
    <row r="28" spans="1:11" hidden="1" x14ac:dyDescent="0.3">
      <c r="C28" t="s">
        <v>51</v>
      </c>
      <c r="E28">
        <f>1/E20</f>
        <v>1.0475537002215576</v>
      </c>
      <c r="I28" t="s">
        <v>51</v>
      </c>
      <c r="K28">
        <f>1/K20</f>
        <v>1.0473211096995549</v>
      </c>
    </row>
    <row r="29" spans="1:11" hidden="1" x14ac:dyDescent="0.3"/>
    <row r="30" spans="1:11" hidden="1" x14ac:dyDescent="0.3">
      <c r="A30" s="1" t="s">
        <v>17</v>
      </c>
      <c r="B30" s="1"/>
      <c r="C30" s="1"/>
      <c r="D30" s="1"/>
      <c r="E30" s="2"/>
      <c r="G30" s="123" t="s">
        <v>17</v>
      </c>
      <c r="H30" s="123"/>
      <c r="I30" s="123"/>
      <c r="J30" s="123"/>
      <c r="K30" s="123"/>
    </row>
    <row r="31" spans="1:11" hidden="1" x14ac:dyDescent="0.3">
      <c r="A31" s="123" t="s">
        <v>18</v>
      </c>
      <c r="B31" s="123"/>
      <c r="C31" s="123"/>
      <c r="D31" s="123"/>
      <c r="E31" s="123"/>
      <c r="G31" s="1" t="s">
        <v>18</v>
      </c>
      <c r="H31" s="1"/>
      <c r="I31" s="1"/>
      <c r="J31" s="1"/>
      <c r="K31" s="2"/>
    </row>
    <row r="32" spans="1:11" hidden="1" x14ac:dyDescent="0.3">
      <c r="A32" s="123" t="s">
        <v>19</v>
      </c>
      <c r="B32" s="123"/>
      <c r="C32" s="123"/>
      <c r="D32" s="123"/>
      <c r="E32" s="123"/>
      <c r="G32" s="1" t="s">
        <v>35</v>
      </c>
      <c r="H32" s="1"/>
      <c r="I32" s="1"/>
      <c r="J32" s="1"/>
      <c r="K32" s="2"/>
    </row>
    <row r="33" spans="1:11" ht="15.6" hidden="1" x14ac:dyDescent="0.3">
      <c r="A33" s="123" t="s">
        <v>38</v>
      </c>
      <c r="B33" s="124"/>
      <c r="C33" s="123"/>
      <c r="D33" s="123"/>
      <c r="E33" s="123"/>
      <c r="G33" s="1" t="s">
        <v>38</v>
      </c>
      <c r="H33" s="1"/>
      <c r="I33" s="1"/>
      <c r="J33" s="1"/>
      <c r="K33" s="2"/>
    </row>
    <row r="34" spans="1:11" hidden="1" x14ac:dyDescent="0.3">
      <c r="A34" s="3"/>
      <c r="B34" s="3"/>
      <c r="C34" s="3"/>
      <c r="D34" s="3"/>
      <c r="E34" s="4"/>
      <c r="G34" s="3"/>
      <c r="H34" s="3"/>
      <c r="I34" s="3"/>
      <c r="J34" s="3"/>
      <c r="K34" s="4"/>
    </row>
    <row r="35" spans="1:11" hidden="1" x14ac:dyDescent="0.3">
      <c r="A35" s="5" t="s">
        <v>21</v>
      </c>
      <c r="B35" s="5"/>
      <c r="C35" s="5"/>
      <c r="D35" s="5"/>
      <c r="E35" s="6"/>
      <c r="G35" s="5" t="s">
        <v>21</v>
      </c>
      <c r="H35" s="5"/>
      <c r="I35" s="5"/>
      <c r="J35" s="5"/>
      <c r="K35" s="6"/>
    </row>
    <row r="36" spans="1:11" hidden="1" x14ac:dyDescent="0.3">
      <c r="A36" s="7" t="s">
        <v>22</v>
      </c>
      <c r="B36" s="5"/>
      <c r="C36" s="7" t="s">
        <v>23</v>
      </c>
      <c r="D36" s="8"/>
      <c r="E36" s="9" t="s">
        <v>24</v>
      </c>
      <c r="G36" s="7" t="s">
        <v>22</v>
      </c>
      <c r="H36" s="5"/>
      <c r="I36" s="7" t="s">
        <v>23</v>
      </c>
      <c r="J36" s="8"/>
      <c r="K36" s="9" t="s">
        <v>24</v>
      </c>
    </row>
    <row r="37" spans="1:11" hidden="1" x14ac:dyDescent="0.3">
      <c r="A37" s="3"/>
      <c r="B37" s="3"/>
      <c r="C37" s="3"/>
      <c r="D37" s="3"/>
      <c r="E37" s="4"/>
      <c r="G37" s="3"/>
      <c r="H37" s="3"/>
      <c r="I37" s="3"/>
      <c r="J37" s="3"/>
      <c r="K37" s="4"/>
    </row>
    <row r="38" spans="1:11" hidden="1" x14ac:dyDescent="0.3">
      <c r="A38" s="10">
        <v>1</v>
      </c>
      <c r="B38" s="3"/>
      <c r="C38" s="11" t="s">
        <v>25</v>
      </c>
      <c r="D38" s="3"/>
      <c r="E38" s="12">
        <v>1</v>
      </c>
      <c r="G38" s="10">
        <v>1</v>
      </c>
      <c r="H38" s="3"/>
      <c r="I38" s="11" t="s">
        <v>25</v>
      </c>
      <c r="J38" s="3"/>
      <c r="K38" s="12">
        <v>1</v>
      </c>
    </row>
    <row r="39" spans="1:11" hidden="1" x14ac:dyDescent="0.3">
      <c r="A39" s="10"/>
      <c r="B39" s="3"/>
      <c r="C39" s="3"/>
      <c r="D39" s="3"/>
      <c r="E39" s="12"/>
      <c r="G39" s="10"/>
      <c r="H39" s="3"/>
      <c r="I39" s="3"/>
      <c r="J39" s="3"/>
      <c r="K39" s="12"/>
    </row>
    <row r="40" spans="1:11" hidden="1" x14ac:dyDescent="0.3">
      <c r="A40" s="10"/>
      <c r="B40" s="3"/>
      <c r="C40" s="13" t="s">
        <v>26</v>
      </c>
      <c r="D40" s="14"/>
      <c r="E40" s="12"/>
      <c r="G40" s="10"/>
      <c r="H40" s="3"/>
      <c r="I40" s="13" t="s">
        <v>26</v>
      </c>
      <c r="J40" s="14"/>
      <c r="K40" s="12"/>
    </row>
    <row r="41" spans="1:11" hidden="1" x14ac:dyDescent="0.3">
      <c r="A41" s="10">
        <v>2</v>
      </c>
      <c r="B41" s="3"/>
      <c r="C41" s="14" t="s">
        <v>27</v>
      </c>
      <c r="D41" s="14"/>
      <c r="E41" s="14">
        <v>4.4488865114927787E-3</v>
      </c>
      <c r="G41" s="10">
        <v>2</v>
      </c>
      <c r="H41" s="3"/>
      <c r="I41" s="14" t="s">
        <v>27</v>
      </c>
      <c r="J41" s="14"/>
      <c r="K41" s="14">
        <v>4.4485628026109834E-3</v>
      </c>
    </row>
    <row r="42" spans="1:11" hidden="1" x14ac:dyDescent="0.3">
      <c r="A42" s="10"/>
      <c r="B42" s="3"/>
      <c r="C42" s="14"/>
      <c r="D42" s="14"/>
      <c r="E42" s="14"/>
      <c r="G42" s="10"/>
      <c r="H42" s="3"/>
      <c r="I42" s="14"/>
      <c r="J42" s="14"/>
      <c r="K42" s="14"/>
    </row>
    <row r="43" spans="1:11" hidden="1" x14ac:dyDescent="0.3">
      <c r="A43" s="10">
        <v>3</v>
      </c>
      <c r="B43" s="3"/>
      <c r="C43" s="14" t="s">
        <v>28</v>
      </c>
      <c r="D43" s="14"/>
      <c r="E43" s="14">
        <v>2E-3</v>
      </c>
      <c r="G43" s="10">
        <v>3</v>
      </c>
      <c r="H43" s="3"/>
      <c r="I43" s="14" t="s">
        <v>28</v>
      </c>
      <c r="J43" s="14"/>
      <c r="K43" s="14">
        <v>2E-3</v>
      </c>
    </row>
    <row r="44" spans="1:11" hidden="1" x14ac:dyDescent="0.3">
      <c r="A44" s="10"/>
      <c r="B44" s="3"/>
      <c r="C44" s="14"/>
      <c r="D44" s="14"/>
      <c r="E44" s="14"/>
      <c r="G44" s="10"/>
      <c r="H44" s="3"/>
      <c r="I44" s="14"/>
      <c r="J44" s="14"/>
      <c r="K44" s="14"/>
    </row>
    <row r="45" spans="1:11" hidden="1" x14ac:dyDescent="0.3">
      <c r="A45" s="10">
        <v>4</v>
      </c>
      <c r="B45" s="3"/>
      <c r="C45" s="14" t="s">
        <v>29</v>
      </c>
      <c r="D45" s="14"/>
      <c r="E45" s="14">
        <v>3.8561676829863833E-2</v>
      </c>
      <c r="G45" s="10">
        <v>4</v>
      </c>
      <c r="H45" s="3"/>
      <c r="I45" s="14" t="s">
        <v>29</v>
      </c>
      <c r="J45" s="14"/>
      <c r="K45" s="14">
        <v>3.8348641360843427E-2</v>
      </c>
    </row>
    <row r="46" spans="1:11" hidden="1" x14ac:dyDescent="0.3">
      <c r="A46" s="10"/>
      <c r="B46" s="3"/>
      <c r="C46" s="14"/>
      <c r="D46" s="14"/>
      <c r="E46" s="14"/>
      <c r="G46" s="10"/>
      <c r="H46" s="3"/>
      <c r="I46" s="14"/>
      <c r="J46" s="14"/>
      <c r="K46" s="14"/>
    </row>
    <row r="47" spans="1:11" hidden="1" x14ac:dyDescent="0.3">
      <c r="A47" s="10">
        <v>5</v>
      </c>
      <c r="B47" s="3"/>
      <c r="C47" s="14" t="s">
        <v>39</v>
      </c>
      <c r="D47" s="14"/>
      <c r="E47" s="14">
        <v>0</v>
      </c>
      <c r="G47" s="10">
        <v>5</v>
      </c>
      <c r="H47" s="3"/>
      <c r="I47" s="14" t="s">
        <v>39</v>
      </c>
      <c r="J47" s="14"/>
      <c r="K47" s="14">
        <v>0</v>
      </c>
    </row>
    <row r="48" spans="1:11" ht="15" hidden="1" thickBot="1" x14ac:dyDescent="0.35">
      <c r="A48" s="10"/>
      <c r="B48" s="3"/>
      <c r="C48" s="14"/>
      <c r="D48" s="14"/>
      <c r="E48" s="14"/>
      <c r="G48" s="10"/>
      <c r="H48" s="3"/>
      <c r="I48" s="14"/>
      <c r="J48" s="14"/>
      <c r="K48" s="14"/>
    </row>
    <row r="49" spans="1:12" ht="15" hidden="1" thickBot="1" x14ac:dyDescent="0.35">
      <c r="A49" s="10">
        <v>6</v>
      </c>
      <c r="B49" s="3"/>
      <c r="C49" s="14" t="s">
        <v>30</v>
      </c>
      <c r="D49" s="14"/>
      <c r="E49" s="15">
        <f>SUM(E41:E47)</f>
        <v>4.5010563341356613E-2</v>
      </c>
      <c r="G49" s="10">
        <v>6</v>
      </c>
      <c r="H49" s="3"/>
      <c r="I49" s="14" t="s">
        <v>30</v>
      </c>
      <c r="J49" s="14"/>
      <c r="K49" s="22">
        <f>SUM(K41:K47)</f>
        <v>4.479720416345441E-2</v>
      </c>
      <c r="L49" t="s">
        <v>41</v>
      </c>
    </row>
    <row r="50" spans="1:12" hidden="1" x14ac:dyDescent="0.3">
      <c r="A50" s="3"/>
      <c r="B50" s="3"/>
      <c r="C50" s="14"/>
      <c r="D50" s="14"/>
      <c r="E50" s="16"/>
      <c r="G50" s="3"/>
      <c r="H50" s="3"/>
      <c r="I50" s="14"/>
      <c r="J50" s="14"/>
      <c r="K50" s="16"/>
    </row>
    <row r="51" spans="1:12" hidden="1" x14ac:dyDescent="0.3">
      <c r="A51" s="10">
        <v>7</v>
      </c>
      <c r="B51" s="3"/>
      <c r="C51" s="14" t="s">
        <v>31</v>
      </c>
      <c r="D51" s="14"/>
      <c r="E51" s="16">
        <f>E38-E49</f>
        <v>0.95498943665864333</v>
      </c>
      <c r="G51" s="10">
        <v>7</v>
      </c>
      <c r="H51" s="3"/>
      <c r="I51" s="14" t="s">
        <v>31</v>
      </c>
      <c r="J51" s="14"/>
      <c r="K51" s="16">
        <f>K38-K49</f>
        <v>0.95520279583654555</v>
      </c>
    </row>
    <row r="52" spans="1:12" hidden="1" x14ac:dyDescent="0.3">
      <c r="A52" s="3"/>
      <c r="B52" s="3"/>
      <c r="C52" s="14"/>
      <c r="D52" s="14"/>
      <c r="E52" s="16"/>
      <c r="G52" s="3"/>
      <c r="H52" s="3"/>
      <c r="I52" s="14"/>
      <c r="J52" s="14"/>
      <c r="K52" s="16"/>
    </row>
    <row r="53" spans="1:12" hidden="1" x14ac:dyDescent="0.3">
      <c r="A53" s="10">
        <v>8</v>
      </c>
      <c r="B53" s="3"/>
      <c r="C53" s="14" t="s">
        <v>32</v>
      </c>
      <c r="D53" s="17"/>
      <c r="E53" s="18">
        <f>ROUND(E51*0.35,6)</f>
        <v>0.33424599999999999</v>
      </c>
      <c r="G53" s="10">
        <v>8</v>
      </c>
      <c r="H53" s="3"/>
      <c r="I53" s="14" t="s">
        <v>32</v>
      </c>
      <c r="J53" s="17"/>
      <c r="K53" s="18">
        <f>ROUND(K51*0.35,6)</f>
        <v>0.33432099999999998</v>
      </c>
    </row>
    <row r="54" spans="1:12" hidden="1" x14ac:dyDescent="0.3">
      <c r="A54" s="3"/>
      <c r="B54" s="3"/>
      <c r="C54" s="14"/>
      <c r="D54" s="14"/>
      <c r="E54" s="16"/>
      <c r="G54" s="3"/>
      <c r="H54" s="3"/>
      <c r="I54" s="14"/>
      <c r="J54" s="14"/>
      <c r="K54" s="16"/>
    </row>
    <row r="55" spans="1:12" ht="15" hidden="1" thickBot="1" x14ac:dyDescent="0.35">
      <c r="A55" s="10">
        <v>9</v>
      </c>
      <c r="B55" s="3"/>
      <c r="C55" s="13" t="s">
        <v>33</v>
      </c>
      <c r="D55" s="14"/>
      <c r="E55" s="21">
        <f>ROUND(E51-E53,5)</f>
        <v>0.62073999999999996</v>
      </c>
      <c r="G55" s="10">
        <v>9</v>
      </c>
      <c r="H55" s="3"/>
      <c r="I55" s="13" t="s">
        <v>33</v>
      </c>
      <c r="J55" s="14"/>
      <c r="K55" s="21">
        <f>ROUND(K51-K53,5)</f>
        <v>0.62087999999999999</v>
      </c>
    </row>
    <row r="56" spans="1:12" ht="15" hidden="1" thickTop="1" x14ac:dyDescent="0.3">
      <c r="A56" s="20"/>
      <c r="B56" s="20"/>
      <c r="C56" s="20"/>
      <c r="D56" s="20"/>
      <c r="E56" s="20"/>
      <c r="G56" s="20"/>
      <c r="H56" s="20"/>
      <c r="I56" s="20"/>
      <c r="J56" s="20"/>
      <c r="K56" s="20"/>
    </row>
    <row r="57" spans="1:12" hidden="1" x14ac:dyDescent="0.3">
      <c r="C57" t="s">
        <v>34</v>
      </c>
      <c r="I57" t="s">
        <v>36</v>
      </c>
    </row>
    <row r="58" spans="1:12" hidden="1" x14ac:dyDescent="0.3">
      <c r="C58" t="s">
        <v>40</v>
      </c>
      <c r="I58" t="s">
        <v>40</v>
      </c>
    </row>
    <row r="59" spans="1:12" hidden="1" x14ac:dyDescent="0.3">
      <c r="C59" t="s">
        <v>51</v>
      </c>
      <c r="E59">
        <f>1/E51</f>
        <v>1.0471320012699215</v>
      </c>
      <c r="I59" t="s">
        <v>51</v>
      </c>
      <c r="K59">
        <f>1/K51</f>
        <v>1.0468981082956548</v>
      </c>
    </row>
    <row r="60" spans="1:12" hidden="1" x14ac:dyDescent="0.3"/>
    <row r="61" spans="1:12" hidden="1" x14ac:dyDescent="0.3">
      <c r="A61" s="127" t="s">
        <v>18</v>
      </c>
      <c r="B61" s="127"/>
      <c r="C61" s="127"/>
      <c r="D61" s="127"/>
      <c r="E61" s="127"/>
      <c r="G61" s="23" t="s">
        <v>18</v>
      </c>
      <c r="H61" s="23"/>
      <c r="I61" s="23"/>
      <c r="J61" s="23"/>
      <c r="K61" s="24"/>
    </row>
    <row r="62" spans="1:12" hidden="1" x14ac:dyDescent="0.3">
      <c r="A62" s="123" t="s">
        <v>19</v>
      </c>
      <c r="B62" s="123"/>
      <c r="C62" s="123"/>
      <c r="D62" s="123"/>
      <c r="E62" s="123"/>
      <c r="G62" s="1" t="s">
        <v>35</v>
      </c>
      <c r="H62" s="1"/>
      <c r="I62" s="1"/>
      <c r="J62" s="1"/>
      <c r="K62" s="2"/>
    </row>
    <row r="63" spans="1:12" ht="15.6" hidden="1" x14ac:dyDescent="0.3">
      <c r="A63" s="128" t="s">
        <v>42</v>
      </c>
      <c r="B63" s="129"/>
      <c r="C63" s="128"/>
      <c r="D63" s="128"/>
      <c r="E63" s="128"/>
      <c r="G63" s="126" t="s">
        <v>42</v>
      </c>
      <c r="H63" s="126"/>
      <c r="I63" s="126"/>
      <c r="J63" s="126"/>
      <c r="K63" s="126"/>
    </row>
    <row r="64" spans="1:12" hidden="1" x14ac:dyDescent="0.3">
      <c r="A64" s="3"/>
      <c r="B64" s="3"/>
      <c r="C64" s="3"/>
      <c r="D64" s="3"/>
      <c r="E64" s="4"/>
      <c r="G64" s="3"/>
      <c r="H64" s="3"/>
      <c r="I64" s="3"/>
      <c r="J64" s="3"/>
      <c r="K64" s="4"/>
    </row>
    <row r="65" spans="1:11" hidden="1" x14ac:dyDescent="0.3">
      <c r="A65" s="5" t="s">
        <v>21</v>
      </c>
      <c r="B65" s="5"/>
      <c r="C65" s="5"/>
      <c r="D65" s="5"/>
      <c r="E65" s="6"/>
      <c r="G65" s="5" t="s">
        <v>21</v>
      </c>
      <c r="H65" s="5"/>
      <c r="I65" s="5"/>
      <c r="J65" s="5"/>
      <c r="K65" s="6"/>
    </row>
    <row r="66" spans="1:11" hidden="1" x14ac:dyDescent="0.3">
      <c r="A66" s="7" t="s">
        <v>22</v>
      </c>
      <c r="B66" s="5"/>
      <c r="C66" s="7" t="s">
        <v>23</v>
      </c>
      <c r="D66" s="8"/>
      <c r="E66" s="9" t="s">
        <v>24</v>
      </c>
      <c r="G66" s="7" t="s">
        <v>22</v>
      </c>
      <c r="H66" s="5"/>
      <c r="I66" s="7" t="s">
        <v>23</v>
      </c>
      <c r="J66" s="8"/>
      <c r="K66" s="9" t="s">
        <v>24</v>
      </c>
    </row>
    <row r="67" spans="1:11" hidden="1" x14ac:dyDescent="0.3">
      <c r="A67" s="3"/>
      <c r="B67" s="3"/>
      <c r="C67" s="3"/>
      <c r="D67" s="3"/>
      <c r="E67" s="4"/>
      <c r="G67" s="3"/>
      <c r="H67" s="3"/>
      <c r="I67" s="3"/>
      <c r="J67" s="3"/>
      <c r="K67" s="4"/>
    </row>
    <row r="68" spans="1:11" hidden="1" x14ac:dyDescent="0.3">
      <c r="A68" s="10">
        <v>1</v>
      </c>
      <c r="B68" s="3"/>
      <c r="C68" s="11" t="s">
        <v>25</v>
      </c>
      <c r="D68" s="3"/>
      <c r="E68" s="12">
        <v>1</v>
      </c>
      <c r="G68" s="10">
        <v>1</v>
      </c>
      <c r="H68" s="3"/>
      <c r="I68" s="11" t="s">
        <v>25</v>
      </c>
      <c r="J68" s="3"/>
      <c r="K68" s="12">
        <v>1</v>
      </c>
    </row>
    <row r="69" spans="1:11" hidden="1" x14ac:dyDescent="0.3">
      <c r="A69" s="10"/>
      <c r="B69" s="3"/>
      <c r="C69" s="3"/>
      <c r="D69" s="3"/>
      <c r="E69" s="12"/>
      <c r="G69" s="10"/>
      <c r="H69" s="3"/>
      <c r="I69" s="3"/>
      <c r="J69" s="3"/>
      <c r="K69" s="12"/>
    </row>
    <row r="70" spans="1:11" hidden="1" x14ac:dyDescent="0.3">
      <c r="A70" s="10"/>
      <c r="B70" s="3"/>
      <c r="C70" s="13" t="s">
        <v>26</v>
      </c>
      <c r="D70" s="14"/>
      <c r="E70" s="12"/>
      <c r="G70" s="10"/>
      <c r="H70" s="3"/>
      <c r="I70" s="13" t="s">
        <v>26</v>
      </c>
      <c r="J70" s="14"/>
      <c r="K70" s="12"/>
    </row>
    <row r="71" spans="1:11" hidden="1" x14ac:dyDescent="0.3">
      <c r="A71" s="10">
        <v>2</v>
      </c>
      <c r="B71" s="3"/>
      <c r="C71" s="14" t="s">
        <v>27</v>
      </c>
      <c r="D71" s="14"/>
      <c r="E71" s="14">
        <v>5.8552999999999999E-3</v>
      </c>
      <c r="G71" s="10">
        <v>2</v>
      </c>
      <c r="H71" s="3"/>
      <c r="I71" s="14" t="s">
        <v>27</v>
      </c>
      <c r="J71" s="14"/>
      <c r="K71" s="14">
        <v>5.85543782177716E-3</v>
      </c>
    </row>
    <row r="72" spans="1:11" hidden="1" x14ac:dyDescent="0.3">
      <c r="A72" s="10"/>
      <c r="B72" s="3"/>
      <c r="C72" s="14"/>
      <c r="D72" s="14"/>
      <c r="E72" s="14"/>
      <c r="G72" s="10"/>
      <c r="H72" s="3"/>
      <c r="I72" s="14"/>
      <c r="J72" s="14"/>
      <c r="K72" s="14"/>
    </row>
    <row r="73" spans="1:11" hidden="1" x14ac:dyDescent="0.3">
      <c r="A73" s="10">
        <v>3</v>
      </c>
      <c r="B73" s="3"/>
      <c r="C73" s="14" t="s">
        <v>28</v>
      </c>
      <c r="D73" s="14"/>
      <c r="E73" s="14">
        <v>2E-3</v>
      </c>
      <c r="G73" s="10">
        <v>3</v>
      </c>
      <c r="H73" s="3"/>
      <c r="I73" s="14" t="s">
        <v>28</v>
      </c>
      <c r="J73" s="14"/>
      <c r="K73" s="14">
        <v>2E-3</v>
      </c>
    </row>
    <row r="74" spans="1:11" hidden="1" x14ac:dyDescent="0.3">
      <c r="A74" s="10"/>
      <c r="B74" s="3"/>
      <c r="C74" s="14"/>
      <c r="D74" s="14"/>
      <c r="E74" s="14"/>
      <c r="G74" s="10"/>
      <c r="H74" s="3"/>
      <c r="I74" s="14"/>
      <c r="J74" s="14"/>
      <c r="K74" s="14"/>
    </row>
    <row r="75" spans="1:11" hidden="1" x14ac:dyDescent="0.3">
      <c r="A75" s="10">
        <v>4</v>
      </c>
      <c r="B75" s="3"/>
      <c r="C75" s="14" t="s">
        <v>29</v>
      </c>
      <c r="D75" s="14"/>
      <c r="E75" s="14">
        <v>3.8507300000000001E-2</v>
      </c>
      <c r="G75" s="10">
        <v>4</v>
      </c>
      <c r="H75" s="3"/>
      <c r="I75" s="14" t="s">
        <v>29</v>
      </c>
      <c r="J75" s="14"/>
      <c r="K75" s="14">
        <v>3.8294448535105101E-2</v>
      </c>
    </row>
    <row r="76" spans="1:11" hidden="1" x14ac:dyDescent="0.3">
      <c r="A76" s="10"/>
      <c r="B76" s="3"/>
      <c r="C76" s="14"/>
      <c r="D76" s="14"/>
      <c r="E76" s="14"/>
      <c r="G76" s="10"/>
      <c r="H76" s="3"/>
      <c r="I76" s="14"/>
      <c r="J76" s="14"/>
      <c r="K76" s="14"/>
    </row>
    <row r="77" spans="1:11" hidden="1" x14ac:dyDescent="0.3">
      <c r="A77" s="10">
        <v>5</v>
      </c>
      <c r="B77" s="3"/>
      <c r="C77" s="14" t="s">
        <v>30</v>
      </c>
      <c r="D77" s="14"/>
      <c r="E77" s="15">
        <f>SUM(E71:E75)</f>
        <v>4.6362600000000004E-2</v>
      </c>
      <c r="G77" s="10">
        <v>5</v>
      </c>
      <c r="H77" s="3"/>
      <c r="I77" s="14" t="s">
        <v>30</v>
      </c>
      <c r="J77" s="14"/>
      <c r="K77" s="15">
        <f>SUM(K71:K75)</f>
        <v>4.6149886356882261E-2</v>
      </c>
    </row>
    <row r="78" spans="1:11" hidden="1" x14ac:dyDescent="0.3">
      <c r="A78" s="10"/>
      <c r="B78" s="3"/>
      <c r="C78" s="14"/>
      <c r="D78" s="14"/>
      <c r="E78" s="16"/>
      <c r="G78" s="10"/>
      <c r="H78" s="3"/>
      <c r="I78" s="14"/>
      <c r="J78" s="14"/>
      <c r="K78" s="16"/>
    </row>
    <row r="79" spans="1:11" hidden="1" x14ac:dyDescent="0.3">
      <c r="A79" s="10">
        <v>6</v>
      </c>
      <c r="B79" s="3"/>
      <c r="C79" s="14" t="s">
        <v>31</v>
      </c>
      <c r="D79" s="14"/>
      <c r="E79" s="16">
        <f>E68-E77</f>
        <v>0.95363739999999997</v>
      </c>
      <c r="G79" s="10">
        <v>6</v>
      </c>
      <c r="H79" s="3"/>
      <c r="I79" s="14" t="s">
        <v>31</v>
      </c>
      <c r="J79" s="14"/>
      <c r="K79" s="16">
        <f>K68-K77</f>
        <v>0.95385011364311778</v>
      </c>
    </row>
    <row r="80" spans="1:11" hidden="1" x14ac:dyDescent="0.3">
      <c r="A80" s="3"/>
      <c r="B80" s="3"/>
      <c r="C80" s="14"/>
      <c r="D80" s="14"/>
      <c r="E80" s="16"/>
      <c r="G80" s="3"/>
      <c r="H80" s="3"/>
      <c r="I80" s="14"/>
      <c r="J80" s="14"/>
      <c r="K80" s="16"/>
    </row>
    <row r="81" spans="1:11" hidden="1" x14ac:dyDescent="0.3">
      <c r="A81" s="10">
        <v>7</v>
      </c>
      <c r="B81" s="3"/>
      <c r="C81" s="14" t="s">
        <v>32</v>
      </c>
      <c r="D81" s="17"/>
      <c r="E81" s="18">
        <f>ROUND(E79*0.35,6)</f>
        <v>0.33377299999999999</v>
      </c>
      <c r="G81" s="10">
        <v>7</v>
      </c>
      <c r="H81" s="3"/>
      <c r="I81" s="14" t="s">
        <v>32</v>
      </c>
      <c r="J81" s="17"/>
      <c r="K81" s="18">
        <f>K79*0.35</f>
        <v>0.33384753977509118</v>
      </c>
    </row>
    <row r="82" spans="1:11" hidden="1" x14ac:dyDescent="0.3">
      <c r="A82" s="3"/>
      <c r="B82" s="3"/>
      <c r="C82" s="14"/>
      <c r="D82" s="14"/>
      <c r="E82" s="16"/>
      <c r="G82" s="3"/>
      <c r="H82" s="3"/>
      <c r="I82" s="14"/>
      <c r="J82" s="14"/>
      <c r="K82" s="16"/>
    </row>
    <row r="83" spans="1:11" ht="15" hidden="1" thickBot="1" x14ac:dyDescent="0.35">
      <c r="A83" s="10">
        <v>8</v>
      </c>
      <c r="B83" s="3"/>
      <c r="C83" s="13" t="s">
        <v>33</v>
      </c>
      <c r="D83" s="14"/>
      <c r="E83" s="25">
        <f>ROUND(E79-E81,6)</f>
        <v>0.61986399999999997</v>
      </c>
      <c r="G83" s="10">
        <v>8</v>
      </c>
      <c r="H83" s="3"/>
      <c r="I83" s="13" t="s">
        <v>33</v>
      </c>
      <c r="J83" s="14"/>
      <c r="K83" s="25">
        <f>ROUND(K79-K81,6)</f>
        <v>0.62000299999999997</v>
      </c>
    </row>
    <row r="84" spans="1:11" ht="15" hidden="1" thickTop="1" x14ac:dyDescent="0.3">
      <c r="G84" s="20"/>
      <c r="H84" s="20"/>
      <c r="I84" s="20"/>
      <c r="J84" s="20"/>
      <c r="K84" s="20"/>
    </row>
    <row r="85" spans="1:11" hidden="1" x14ac:dyDescent="0.3">
      <c r="C85" t="s">
        <v>44</v>
      </c>
      <c r="I85" t="s">
        <v>43</v>
      </c>
    </row>
    <row r="86" spans="1:11" hidden="1" x14ac:dyDescent="0.3">
      <c r="C86" t="s">
        <v>40</v>
      </c>
      <c r="I86" t="s">
        <v>40</v>
      </c>
    </row>
    <row r="87" spans="1:11" hidden="1" x14ac:dyDescent="0.3">
      <c r="C87" t="s">
        <v>51</v>
      </c>
      <c r="E87">
        <f>1/E79</f>
        <v>1.0486165915892141</v>
      </c>
      <c r="I87" t="s">
        <v>51</v>
      </c>
      <c r="K87">
        <f>1/K79</f>
        <v>1.0483827445180232</v>
      </c>
    </row>
    <row r="88" spans="1:11" hidden="1" x14ac:dyDescent="0.3"/>
    <row r="89" spans="1:11" x14ac:dyDescent="0.3">
      <c r="A89" s="1" t="s">
        <v>17</v>
      </c>
      <c r="B89" s="1"/>
      <c r="C89" s="1"/>
      <c r="D89" s="1"/>
      <c r="E89" s="2"/>
      <c r="G89" s="125" t="s">
        <v>17</v>
      </c>
      <c r="H89" s="125"/>
      <c r="I89" s="125"/>
      <c r="J89" s="125"/>
      <c r="K89" s="125"/>
    </row>
    <row r="90" spans="1:11" x14ac:dyDescent="0.3">
      <c r="A90" s="1" t="s">
        <v>18</v>
      </c>
      <c r="B90" s="1"/>
      <c r="C90" s="1"/>
      <c r="D90" s="1"/>
      <c r="E90" s="2"/>
      <c r="G90" s="125" t="s">
        <v>18</v>
      </c>
      <c r="H90" s="125"/>
      <c r="I90" s="125"/>
      <c r="J90" s="125"/>
      <c r="K90" s="125"/>
    </row>
    <row r="91" spans="1:11" x14ac:dyDescent="0.3">
      <c r="A91" s="1" t="s">
        <v>19</v>
      </c>
      <c r="B91" s="1"/>
      <c r="C91" s="1"/>
      <c r="D91" s="1"/>
      <c r="E91" s="2"/>
      <c r="G91" s="125" t="s">
        <v>47</v>
      </c>
      <c r="H91" s="125"/>
      <c r="I91" s="125"/>
      <c r="J91" s="125"/>
      <c r="K91" s="125"/>
    </row>
    <row r="92" spans="1:11" x14ac:dyDescent="0.3">
      <c r="A92" s="1" t="s">
        <v>45</v>
      </c>
      <c r="B92" s="1"/>
      <c r="C92" s="1"/>
      <c r="D92" s="1"/>
      <c r="E92" s="2"/>
      <c r="G92" s="125" t="s">
        <v>45</v>
      </c>
      <c r="H92" s="125"/>
      <c r="I92" s="125"/>
      <c r="J92" s="125"/>
      <c r="K92" s="125"/>
    </row>
    <row r="93" spans="1:11" x14ac:dyDescent="0.3">
      <c r="A93" s="3"/>
      <c r="B93" s="3"/>
      <c r="C93" s="3"/>
      <c r="D93" s="3"/>
      <c r="E93" s="4"/>
      <c r="G93" s="3"/>
      <c r="H93" s="3"/>
      <c r="I93" s="27"/>
      <c r="J93" s="14"/>
      <c r="K93" s="4"/>
    </row>
    <row r="94" spans="1:11" x14ac:dyDescent="0.3">
      <c r="A94" s="5" t="s">
        <v>21</v>
      </c>
      <c r="B94" s="5"/>
      <c r="C94" s="5"/>
      <c r="D94" s="5"/>
      <c r="E94" s="6"/>
      <c r="G94" s="27" t="s">
        <v>21</v>
      </c>
      <c r="H94" s="3"/>
      <c r="I94" s="27"/>
      <c r="J94" s="14"/>
      <c r="K94" s="27"/>
    </row>
    <row r="95" spans="1:11" x14ac:dyDescent="0.3">
      <c r="A95" s="7" t="s">
        <v>22</v>
      </c>
      <c r="B95" s="5"/>
      <c r="C95" s="7" t="s">
        <v>23</v>
      </c>
      <c r="D95" s="8"/>
      <c r="E95" s="9" t="s">
        <v>24</v>
      </c>
      <c r="G95" s="28" t="s">
        <v>22</v>
      </c>
      <c r="H95" s="3"/>
      <c r="I95" s="28" t="s">
        <v>23</v>
      </c>
      <c r="J95" s="14"/>
      <c r="K95" s="28" t="s">
        <v>24</v>
      </c>
    </row>
    <row r="96" spans="1:11" x14ac:dyDescent="0.3">
      <c r="A96" s="3"/>
      <c r="B96" s="3"/>
      <c r="C96" s="3"/>
      <c r="D96" s="3"/>
      <c r="E96" s="4"/>
      <c r="G96" s="27"/>
      <c r="H96" s="3"/>
      <c r="I96" s="14"/>
      <c r="J96" s="14"/>
      <c r="K96" s="14"/>
    </row>
    <row r="97" spans="1:11" x14ac:dyDescent="0.3">
      <c r="A97" s="10">
        <v>1</v>
      </c>
      <c r="B97" s="3"/>
      <c r="C97" s="11" t="s">
        <v>25</v>
      </c>
      <c r="D97" s="3"/>
      <c r="E97" s="12">
        <v>1</v>
      </c>
      <c r="G97" s="10">
        <v>1</v>
      </c>
      <c r="H97" s="3"/>
      <c r="I97" s="13" t="s">
        <v>25</v>
      </c>
      <c r="J97" s="14"/>
      <c r="K97" s="14">
        <v>1</v>
      </c>
    </row>
    <row r="98" spans="1:11" x14ac:dyDescent="0.3">
      <c r="A98" s="10"/>
      <c r="B98" s="3"/>
      <c r="C98" s="3"/>
      <c r="D98" s="3"/>
      <c r="E98" s="12"/>
      <c r="G98" s="10"/>
      <c r="H98" s="3"/>
      <c r="I98" s="13"/>
      <c r="J98" s="14"/>
      <c r="K98" s="14"/>
    </row>
    <row r="99" spans="1:11" x14ac:dyDescent="0.3">
      <c r="A99" s="10"/>
      <c r="B99" s="3"/>
      <c r="C99" s="13" t="s">
        <v>26</v>
      </c>
      <c r="D99" s="14"/>
      <c r="E99" s="12"/>
      <c r="G99" s="10"/>
      <c r="H99" s="3"/>
      <c r="I99" s="13" t="s">
        <v>26</v>
      </c>
      <c r="J99" s="14"/>
      <c r="K99" s="14"/>
    </row>
    <row r="100" spans="1:11" x14ac:dyDescent="0.3">
      <c r="A100" s="10">
        <v>2</v>
      </c>
      <c r="B100" s="3"/>
      <c r="C100" s="14" t="s">
        <v>27</v>
      </c>
      <c r="D100" s="14"/>
      <c r="E100" s="16">
        <v>6.7390000000000002E-3</v>
      </c>
      <c r="G100" s="10">
        <v>2</v>
      </c>
      <c r="H100" s="29"/>
      <c r="I100" s="14" t="s">
        <v>48</v>
      </c>
      <c r="J100" s="14"/>
      <c r="K100" s="30">
        <v>6.7400000000000003E-3</v>
      </c>
    </row>
    <row r="101" spans="1:11" x14ac:dyDescent="0.3">
      <c r="A101" s="10"/>
      <c r="B101" s="3"/>
      <c r="C101" s="14"/>
      <c r="D101" s="14"/>
      <c r="E101" s="16"/>
      <c r="G101" s="10"/>
      <c r="H101" s="3"/>
      <c r="I101" s="14"/>
      <c r="J101" s="14"/>
      <c r="K101" s="30"/>
    </row>
    <row r="102" spans="1:11" x14ac:dyDescent="0.3">
      <c r="A102" s="10">
        <v>3</v>
      </c>
      <c r="B102" s="3"/>
      <c r="C102" s="14" t="s">
        <v>28</v>
      </c>
      <c r="D102" s="14"/>
      <c r="E102" s="16">
        <v>2E-3</v>
      </c>
      <c r="G102" s="10">
        <v>3</v>
      </c>
      <c r="H102" s="3"/>
      <c r="I102" s="14" t="s">
        <v>49</v>
      </c>
      <c r="J102" s="14"/>
      <c r="K102" s="31">
        <v>2E-3</v>
      </c>
    </row>
    <row r="103" spans="1:11" x14ac:dyDescent="0.3">
      <c r="A103" s="10"/>
      <c r="B103" s="3"/>
      <c r="C103" s="14"/>
      <c r="D103" s="14"/>
      <c r="E103" s="16"/>
      <c r="G103" s="10"/>
      <c r="H103" s="3"/>
      <c r="I103" s="14"/>
      <c r="J103" s="14"/>
      <c r="K103" s="30"/>
    </row>
    <row r="104" spans="1:11" x14ac:dyDescent="0.3">
      <c r="A104" s="10">
        <v>4</v>
      </c>
      <c r="B104" s="3"/>
      <c r="C104" s="14" t="s">
        <v>29</v>
      </c>
      <c r="D104" s="14"/>
      <c r="E104" s="16">
        <v>3.8473E-2</v>
      </c>
      <c r="G104" s="10">
        <v>4</v>
      </c>
      <c r="H104" s="3"/>
      <c r="I104" s="14" t="s">
        <v>50</v>
      </c>
      <c r="J104" s="14"/>
      <c r="K104" s="30">
        <v>3.8260000000000002E-2</v>
      </c>
    </row>
    <row r="105" spans="1:11" x14ac:dyDescent="0.3">
      <c r="A105" s="10"/>
      <c r="B105" s="3"/>
      <c r="C105" s="14"/>
      <c r="D105" s="14"/>
      <c r="E105" s="14"/>
      <c r="G105" s="10"/>
      <c r="H105" s="3"/>
      <c r="I105" s="14"/>
      <c r="J105" s="14"/>
      <c r="K105" s="32"/>
    </row>
    <row r="106" spans="1:11" x14ac:dyDescent="0.3">
      <c r="A106" s="10">
        <v>5</v>
      </c>
      <c r="B106" s="3"/>
      <c r="C106" s="14" t="s">
        <v>30</v>
      </c>
      <c r="D106" s="14"/>
      <c r="E106" s="15">
        <f>SUM(E100:E105)</f>
        <v>4.7212000000000004E-2</v>
      </c>
      <c r="G106" s="10">
        <v>5</v>
      </c>
      <c r="H106" s="3"/>
      <c r="I106" s="14" t="s">
        <v>30</v>
      </c>
      <c r="J106" s="14"/>
      <c r="K106" s="33">
        <f>SUM(K100:K105)</f>
        <v>4.7E-2</v>
      </c>
    </row>
    <row r="107" spans="1:11" x14ac:dyDescent="0.3">
      <c r="A107" s="3"/>
      <c r="B107" s="3"/>
      <c r="C107" s="14"/>
      <c r="D107" s="14"/>
      <c r="E107" s="16"/>
      <c r="G107" s="10"/>
      <c r="H107" s="3"/>
      <c r="I107" s="14"/>
      <c r="J107" s="14"/>
      <c r="K107" s="14"/>
    </row>
    <row r="108" spans="1:11" x14ac:dyDescent="0.3">
      <c r="A108" s="10">
        <v>6</v>
      </c>
      <c r="B108" s="3"/>
      <c r="C108" s="14" t="s">
        <v>31</v>
      </c>
      <c r="D108" s="14"/>
      <c r="E108" s="16">
        <f>E97-E106</f>
        <v>0.95278799999999997</v>
      </c>
      <c r="G108" s="10">
        <v>6</v>
      </c>
      <c r="H108" s="3"/>
      <c r="I108" s="14" t="s">
        <v>31</v>
      </c>
      <c r="J108" s="14"/>
      <c r="K108" s="14">
        <f>K97-K106</f>
        <v>0.95299999999999996</v>
      </c>
    </row>
    <row r="109" spans="1:11" x14ac:dyDescent="0.3">
      <c r="A109" s="3"/>
      <c r="B109" s="3"/>
      <c r="C109" s="14"/>
      <c r="D109" s="14"/>
      <c r="E109" s="16"/>
      <c r="G109" s="10"/>
      <c r="H109" s="3"/>
      <c r="I109" s="14"/>
      <c r="J109" s="14"/>
      <c r="K109" s="14"/>
    </row>
    <row r="110" spans="1:11" x14ac:dyDescent="0.3">
      <c r="A110" s="10">
        <v>7</v>
      </c>
      <c r="B110" s="3"/>
      <c r="C110" s="14" t="s">
        <v>32</v>
      </c>
      <c r="D110" s="17"/>
      <c r="E110" s="18">
        <f>ROUND(E108*0.35,6)</f>
        <v>0.33347599999999999</v>
      </c>
      <c r="G110" s="10">
        <v>7</v>
      </c>
      <c r="H110" s="3"/>
      <c r="I110" s="14" t="s">
        <v>32</v>
      </c>
      <c r="J110" s="17"/>
      <c r="K110" s="14">
        <f>K108*0.35</f>
        <v>0.33354999999999996</v>
      </c>
    </row>
    <row r="111" spans="1:11" x14ac:dyDescent="0.3">
      <c r="A111" s="3"/>
      <c r="B111" s="3"/>
      <c r="C111" s="14"/>
      <c r="D111" s="14"/>
      <c r="E111" s="16"/>
      <c r="G111" s="3"/>
      <c r="H111" s="3"/>
      <c r="I111" s="14"/>
      <c r="J111" s="14"/>
      <c r="K111" s="14"/>
    </row>
    <row r="112" spans="1:11" ht="15" thickBot="1" x14ac:dyDescent="0.35">
      <c r="A112" s="10">
        <v>8</v>
      </c>
      <c r="B112" s="3"/>
      <c r="C112" s="13" t="s">
        <v>33</v>
      </c>
      <c r="D112" s="14"/>
      <c r="E112" s="26">
        <f>ROUND(E108-E110,6)</f>
        <v>0.61931199999999997</v>
      </c>
      <c r="G112" s="10">
        <v>8</v>
      </c>
      <c r="H112" s="3"/>
      <c r="I112" s="14" t="s">
        <v>33</v>
      </c>
      <c r="J112" s="14"/>
      <c r="K112" s="34">
        <f>ROUND(K108-K110,6)</f>
        <v>0.61944999999999995</v>
      </c>
    </row>
    <row r="113" spans="1:11" ht="15" thickTop="1" x14ac:dyDescent="0.3">
      <c r="A113" s="3"/>
      <c r="B113" s="3"/>
      <c r="C113" s="3"/>
      <c r="D113" s="3"/>
      <c r="E113" s="4"/>
    </row>
    <row r="114" spans="1:11" x14ac:dyDescent="0.3">
      <c r="C114" t="s">
        <v>46</v>
      </c>
      <c r="I114" t="s">
        <v>46</v>
      </c>
    </row>
    <row r="115" spans="1:11" x14ac:dyDescent="0.3">
      <c r="A115" s="97">
        <v>9</v>
      </c>
      <c r="C115" t="s">
        <v>51</v>
      </c>
      <c r="E115">
        <f>ROUND(1/E108,6)</f>
        <v>1.0495509999999999</v>
      </c>
      <c r="G115" s="97">
        <v>9</v>
      </c>
      <c r="I115" t="s">
        <v>51</v>
      </c>
      <c r="K115">
        <f>ROUND(1/K108,6)</f>
        <v>1.049318</v>
      </c>
    </row>
  </sheetData>
  <customSheetViews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16">
    <mergeCell ref="G92:K92"/>
    <mergeCell ref="G91:K91"/>
    <mergeCell ref="G90:K90"/>
    <mergeCell ref="G89:K89"/>
    <mergeCell ref="A33:E33"/>
    <mergeCell ref="G63:K63"/>
    <mergeCell ref="A61:E61"/>
    <mergeCell ref="A62:E62"/>
    <mergeCell ref="A63:E63"/>
    <mergeCell ref="A32:E32"/>
    <mergeCell ref="A2:E2"/>
    <mergeCell ref="A3:E3"/>
    <mergeCell ref="A4:E4"/>
    <mergeCell ref="G1:K1"/>
    <mergeCell ref="A31:E31"/>
    <mergeCell ref="G30:K30"/>
  </mergeCells>
  <printOptions horizontalCentered="1"/>
  <pageMargins left="0.7" right="0.7" top="0.75" bottom="0.75" header="0.3" footer="0.3"/>
  <pageSetup orientation="portrait" r:id="rId3"/>
  <headerFooter>
    <oddFooter>&amp;CATTACHMENT A&amp;RPage 7 of  7</oddFooter>
  </headerFooter>
  <colBreaks count="1" manualBreakCount="1">
    <brk id="6" max="1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U74"/>
  <sheetViews>
    <sheetView topLeftCell="A13" workbookViewId="0">
      <selection activeCell="R26" sqref="R26:R63"/>
    </sheetView>
  </sheetViews>
  <sheetFormatPr defaultRowHeight="14.4" x14ac:dyDescent="0.3"/>
  <cols>
    <col min="1" max="1" width="23.77734375" customWidth="1"/>
    <col min="2" max="2" width="17.77734375" customWidth="1"/>
    <col min="3" max="3" width="14.21875" customWidth="1"/>
    <col min="4" max="4" width="19.88671875" customWidth="1"/>
    <col min="5" max="5" width="2" customWidth="1"/>
    <col min="6" max="6" width="2.21875" customWidth="1"/>
    <col min="7" max="7" width="24.109375" customWidth="1"/>
    <col min="8" max="8" width="17.6640625" customWidth="1"/>
    <col min="9" max="9" width="15.21875" customWidth="1"/>
    <col min="10" max="10" width="19.109375" customWidth="1"/>
    <col min="12" max="12" width="10.6640625" customWidth="1"/>
    <col min="16" max="16" width="26.5546875" customWidth="1"/>
    <col min="18" max="18" width="16.109375" customWidth="1"/>
    <col min="20" max="20" width="16.44140625" customWidth="1"/>
  </cols>
  <sheetData>
    <row r="1" spans="1:21" x14ac:dyDescent="0.3">
      <c r="A1" s="115" t="s">
        <v>0</v>
      </c>
      <c r="B1" s="115"/>
      <c r="C1" s="115"/>
      <c r="D1" s="115"/>
      <c r="E1" s="78"/>
      <c r="F1" s="66"/>
      <c r="G1" s="115" t="s">
        <v>0</v>
      </c>
      <c r="H1" s="115"/>
      <c r="I1" s="115"/>
      <c r="J1" s="115"/>
    </row>
    <row r="2" spans="1:21" x14ac:dyDescent="0.3">
      <c r="A2" s="115" t="s">
        <v>1</v>
      </c>
      <c r="B2" s="115"/>
      <c r="C2" s="115"/>
      <c r="D2" s="115"/>
      <c r="E2" s="78"/>
      <c r="F2" s="66"/>
      <c r="G2" s="115" t="s">
        <v>1</v>
      </c>
      <c r="H2" s="115"/>
      <c r="I2" s="115"/>
      <c r="J2" s="115"/>
    </row>
    <row r="3" spans="1:21" x14ac:dyDescent="0.3">
      <c r="A3" s="115" t="s">
        <v>109</v>
      </c>
      <c r="B3" s="115"/>
      <c r="C3" s="115"/>
      <c r="D3" s="115"/>
      <c r="E3" s="78"/>
      <c r="F3" s="66"/>
      <c r="G3" s="115" t="s">
        <v>109</v>
      </c>
      <c r="H3" s="115"/>
      <c r="I3" s="115"/>
      <c r="J3" s="115"/>
    </row>
    <row r="4" spans="1:2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21" x14ac:dyDescent="0.3">
      <c r="A5" s="116" t="s">
        <v>5</v>
      </c>
      <c r="B5" s="116"/>
      <c r="C5" s="116"/>
      <c r="D5" s="116"/>
      <c r="E5" s="79"/>
      <c r="F5" s="38"/>
      <c r="G5" s="116" t="s">
        <v>16</v>
      </c>
      <c r="H5" s="116"/>
      <c r="I5" s="116"/>
      <c r="J5" s="116"/>
    </row>
    <row r="6" spans="1:21" ht="30" customHeight="1" x14ac:dyDescent="0.3">
      <c r="A6" s="81" t="s">
        <v>3</v>
      </c>
      <c r="B6" s="81" t="s">
        <v>7</v>
      </c>
      <c r="C6" s="81" t="s">
        <v>8</v>
      </c>
      <c r="D6" s="91" t="s">
        <v>191</v>
      </c>
      <c r="E6" s="81"/>
      <c r="F6" s="38"/>
      <c r="G6" s="81" t="s">
        <v>3</v>
      </c>
      <c r="H6" s="81" t="s">
        <v>7</v>
      </c>
      <c r="I6" s="81" t="s">
        <v>8</v>
      </c>
      <c r="J6" s="91" t="s">
        <v>183</v>
      </c>
    </row>
    <row r="7" spans="1:21" x14ac:dyDescent="0.3">
      <c r="A7" s="81"/>
      <c r="B7" s="81">
        <f>ROUND(B8/D22,5)</f>
        <v>1.8450000000000001E-2</v>
      </c>
      <c r="C7" s="36">
        <v>3.4599999999999999E-2</v>
      </c>
      <c r="D7" s="81"/>
      <c r="E7" s="81"/>
      <c r="F7" s="38"/>
      <c r="G7" s="81"/>
      <c r="H7" s="81">
        <f>ROUND(H8/J22,5)</f>
        <v>1.4189999999999999E-2</v>
      </c>
      <c r="I7" s="36">
        <v>3.4599999999999999E-2</v>
      </c>
      <c r="J7" s="81"/>
      <c r="N7" s="82"/>
      <c r="P7" s="130" t="s">
        <v>118</v>
      </c>
      <c r="Q7" s="130"/>
      <c r="R7" s="130"/>
      <c r="S7" s="130"/>
      <c r="T7" s="130"/>
      <c r="U7" s="130"/>
    </row>
    <row r="8" spans="1:21" x14ac:dyDescent="0.3">
      <c r="A8" s="67">
        <v>43009</v>
      </c>
      <c r="B8" s="37">
        <f>'Nat Gas 2015 Rate Calc'!C70</f>
        <v>2261111.8816917897</v>
      </c>
      <c r="C8" s="37"/>
      <c r="D8" s="38"/>
      <c r="E8" s="38"/>
      <c r="F8" s="38"/>
      <c r="G8" s="67">
        <v>43009</v>
      </c>
      <c r="H8" s="37">
        <f>'Nat Gas 2015 Rate Calc'!I70</f>
        <v>770313.62387584453</v>
      </c>
      <c r="I8" s="37"/>
      <c r="J8" s="38"/>
    </row>
    <row r="9" spans="1:21" x14ac:dyDescent="0.3">
      <c r="A9" s="67">
        <v>43040</v>
      </c>
      <c r="B9" s="37">
        <f>B8-($B$7*D9)</f>
        <v>1976404.3967186082</v>
      </c>
      <c r="C9" s="37">
        <f>(B8+B9)/2*($C$7/12)</f>
        <v>6109.0859680416561</v>
      </c>
      <c r="D9" s="59">
        <f>'7 15 16 Forecast Usage by Sched'!L17</f>
        <v>15431299.998546418</v>
      </c>
      <c r="E9" s="41"/>
      <c r="F9" s="38"/>
      <c r="G9" s="67">
        <v>43040</v>
      </c>
      <c r="H9" s="37">
        <f>H8-($H$7*J9)</f>
        <v>667630.23857169761</v>
      </c>
      <c r="I9" s="37">
        <f>(H8+H9)/2*($I$7/12)</f>
        <v>2073.0357350285399</v>
      </c>
      <c r="J9" s="45">
        <f>'7 15 16 Forecast Usage by Sched'!M17</f>
        <v>7236320.3174169743</v>
      </c>
      <c r="L9" s="59"/>
      <c r="M9" s="59"/>
      <c r="N9" s="59"/>
      <c r="P9" t="s">
        <v>69</v>
      </c>
      <c r="R9" s="85">
        <f>232958000+6405000</f>
        <v>239363000</v>
      </c>
      <c r="S9" s="49">
        <f>R9/R13</f>
        <v>0.51065522883834646</v>
      </c>
      <c r="T9" s="85">
        <f>120056000+3463000</f>
        <v>123519000</v>
      </c>
      <c r="U9" s="49">
        <f>T9/T13</f>
        <v>0.76292335424142377</v>
      </c>
    </row>
    <row r="10" spans="1:21" x14ac:dyDescent="0.3">
      <c r="A10" s="67">
        <v>43070</v>
      </c>
      <c r="B10" s="37">
        <f t="shared" ref="B10:B20" si="0">B9-($B$7*D10)</f>
        <v>1576208.7479955945</v>
      </c>
      <c r="C10" s="37">
        <f t="shared" ref="C10:C20" si="1">(B9+B10)/2*($C$7/12)</f>
        <v>5121.6839502963085</v>
      </c>
      <c r="D10" s="59">
        <f>'7 15 16 Forecast Usage by Sched'!L18</f>
        <v>21690821.068998039</v>
      </c>
      <c r="E10" s="41"/>
      <c r="F10" s="38"/>
      <c r="G10" s="67">
        <v>43070</v>
      </c>
      <c r="H10" s="37">
        <f t="shared" ref="H10:H20" si="2">H9-($H$7*J10)</f>
        <v>547570.14321792824</v>
      </c>
      <c r="I10" s="37">
        <f t="shared" ref="I10:I20" si="3">(H9+H10)/2*($I$7/12)</f>
        <v>1751.9138837467106</v>
      </c>
      <c r="J10" s="45">
        <f>'7 15 16 Forecast Usage by Sched'!M18</f>
        <v>8460894.6690464709</v>
      </c>
      <c r="L10" s="59"/>
      <c r="M10" s="59"/>
      <c r="N10" s="59"/>
      <c r="R10" s="86"/>
      <c r="T10" s="86"/>
    </row>
    <row r="11" spans="1:21" x14ac:dyDescent="0.3">
      <c r="A11" s="67">
        <v>43101</v>
      </c>
      <c r="B11" s="37">
        <f t="shared" si="0"/>
        <v>1176209.2228868334</v>
      </c>
      <c r="C11" s="37">
        <f t="shared" si="1"/>
        <v>3968.0692413555003</v>
      </c>
      <c r="D11" s="59">
        <f>'7 15 16 Forecast Usage by Sched'!L19</f>
        <v>21680191.062805481</v>
      </c>
      <c r="E11" s="41"/>
      <c r="F11" s="38"/>
      <c r="G11" s="67">
        <v>43101</v>
      </c>
      <c r="H11" s="37">
        <f t="shared" si="2"/>
        <v>431549.99025253119</v>
      </c>
      <c r="I11" s="37">
        <f t="shared" si="3"/>
        <v>1411.564859086579</v>
      </c>
      <c r="J11" s="45">
        <f>'7 15 16 Forecast Usage by Sched'!M19</f>
        <v>8176191.1885410175</v>
      </c>
      <c r="L11" s="59"/>
      <c r="M11" s="59"/>
      <c r="N11" s="59"/>
      <c r="P11" t="s">
        <v>70</v>
      </c>
      <c r="R11" s="85">
        <f>77798000+141783000+13851000-4058000</f>
        <v>229374000</v>
      </c>
      <c r="S11" s="49">
        <f>R11/R13</f>
        <v>0.48934477116165354</v>
      </c>
      <c r="T11" s="85">
        <f>34290000+2990240+1103000</f>
        <v>38383240</v>
      </c>
      <c r="U11" s="49">
        <f>T11/T13</f>
        <v>0.23707664575857629</v>
      </c>
    </row>
    <row r="12" spans="1:21" x14ac:dyDescent="0.3">
      <c r="A12" s="67">
        <v>43132</v>
      </c>
      <c r="B12" s="37">
        <f t="shared" si="0"/>
        <v>849723.54367260775</v>
      </c>
      <c r="C12" s="37">
        <f t="shared" si="1"/>
        <v>2920.7197384565275</v>
      </c>
      <c r="D12" s="59">
        <f>'7 15 16 Forecast Usage by Sched'!L20</f>
        <v>17695700.77041873</v>
      </c>
      <c r="E12" s="41"/>
      <c r="F12" s="38"/>
      <c r="G12" s="67">
        <v>43132</v>
      </c>
      <c r="H12" s="37">
        <f t="shared" si="2"/>
        <v>335421.59722323128</v>
      </c>
      <c r="I12" s="37">
        <f t="shared" si="3"/>
        <v>1105.7173719442242</v>
      </c>
      <c r="J12" s="45">
        <f>'7 15 16 Forecast Usage by Sched'!M20</f>
        <v>6774375.8301127506</v>
      </c>
      <c r="L12" s="59"/>
      <c r="M12" s="59"/>
      <c r="N12" s="59"/>
    </row>
    <row r="13" spans="1:21" x14ac:dyDescent="0.3">
      <c r="A13" s="67">
        <v>43160</v>
      </c>
      <c r="B13" s="37">
        <f t="shared" si="0"/>
        <v>572279.96352165798</v>
      </c>
      <c r="C13" s="37">
        <f t="shared" si="1"/>
        <v>2050.0550562050662</v>
      </c>
      <c r="D13" s="59">
        <f>'7 15 16 Forecast Usage by Sched'!L21</f>
        <v>15037592.420105681</v>
      </c>
      <c r="E13" s="41"/>
      <c r="F13" s="38"/>
      <c r="G13" s="67">
        <v>43160</v>
      </c>
      <c r="H13" s="37">
        <f t="shared" si="2"/>
        <v>253697.6307345446</v>
      </c>
      <c r="I13" s="37">
        <f t="shared" si="3"/>
        <v>849.31355363912678</v>
      </c>
      <c r="J13" s="45">
        <f>'7 15 16 Forecast Usage by Sched'!M21</f>
        <v>5759264.727884897</v>
      </c>
      <c r="L13" s="59"/>
      <c r="M13" s="59"/>
      <c r="N13" s="59"/>
      <c r="P13" t="s">
        <v>71</v>
      </c>
      <c r="R13" s="51">
        <f>R9+R11</f>
        <v>468737000</v>
      </c>
      <c r="S13" s="50">
        <f>S9+S11</f>
        <v>1</v>
      </c>
      <c r="T13" s="51">
        <f>T9+T11</f>
        <v>161902240</v>
      </c>
      <c r="U13" s="50">
        <f>U9+U11</f>
        <v>1</v>
      </c>
    </row>
    <row r="14" spans="1:21" x14ac:dyDescent="0.3">
      <c r="A14" s="67">
        <v>43191</v>
      </c>
      <c r="B14" s="37">
        <f t="shared" si="0"/>
        <v>405512.66953731381</v>
      </c>
      <c r="C14" s="37">
        <f t="shared" si="1"/>
        <v>1409.6510459933509</v>
      </c>
      <c r="D14" s="59">
        <f>'7 15 16 Forecast Usage by Sched'!L22</f>
        <v>9038877.7227286808</v>
      </c>
      <c r="E14" s="41"/>
      <c r="F14" s="38"/>
      <c r="G14" s="67">
        <v>43191</v>
      </c>
      <c r="H14" s="37">
        <f t="shared" si="2"/>
        <v>201364.68708670753</v>
      </c>
      <c r="I14" s="37">
        <f t="shared" si="3"/>
        <v>656.04817485897183</v>
      </c>
      <c r="J14" s="45">
        <f>'7 15 16 Forecast Usage by Sched'!M22</f>
        <v>3688015.7609469388</v>
      </c>
      <c r="L14" s="59"/>
      <c r="M14" s="59"/>
      <c r="N14" s="59"/>
    </row>
    <row r="15" spans="1:21" x14ac:dyDescent="0.3">
      <c r="A15" s="67">
        <v>43221</v>
      </c>
      <c r="B15" s="37">
        <f t="shared" si="0"/>
        <v>312549.47029069165</v>
      </c>
      <c r="C15" s="37">
        <f t="shared" si="1"/>
        <v>1035.2062515853745</v>
      </c>
      <c r="D15" s="59">
        <f>'7 15 16 Forecast Usage by Sched'!L23</f>
        <v>5038655.7857247787</v>
      </c>
      <c r="E15" s="41"/>
      <c r="F15" s="38"/>
      <c r="G15" s="67">
        <v>43221</v>
      </c>
      <c r="H15" s="37">
        <f t="shared" si="2"/>
        <v>168655.14997959739</v>
      </c>
      <c r="I15" s="37">
        <f t="shared" si="3"/>
        <v>533.44526510392291</v>
      </c>
      <c r="J15" s="45">
        <f>'7 15 16 Forecast Usage by Sched'!M23</f>
        <v>2305111.8468717504</v>
      </c>
      <c r="L15" s="59"/>
      <c r="M15" s="59"/>
      <c r="N15" s="59"/>
      <c r="P15" s="57" t="s">
        <v>72</v>
      </c>
    </row>
    <row r="16" spans="1:21" x14ac:dyDescent="0.3">
      <c r="A16" s="67">
        <v>43252</v>
      </c>
      <c r="B16" s="37">
        <f t="shared" si="0"/>
        <v>258830.41912306473</v>
      </c>
      <c r="C16" s="37">
        <f t="shared" si="1"/>
        <v>823.7393405714987</v>
      </c>
      <c r="D16" s="59">
        <f>'7 15 16 Forecast Usage by Sched'!L24</f>
        <v>2911601.6893022712</v>
      </c>
      <c r="E16" s="41"/>
      <c r="F16" s="38"/>
      <c r="G16" s="67">
        <v>43252</v>
      </c>
      <c r="H16" s="37">
        <f t="shared" si="2"/>
        <v>144733.00289450373</v>
      </c>
      <c r="I16" s="37">
        <f t="shared" si="3"/>
        <v>451.80125372682909</v>
      </c>
      <c r="J16" s="45">
        <f>'7 15 16 Forecast Usage by Sched'!M24</f>
        <v>1685845.4605421887</v>
      </c>
      <c r="L16" s="59"/>
      <c r="M16" s="59"/>
      <c r="N16" s="59"/>
      <c r="P16" t="s">
        <v>74</v>
      </c>
      <c r="R16" s="51">
        <v>0</v>
      </c>
      <c r="T16" s="51">
        <v>0</v>
      </c>
    </row>
    <row r="17" spans="1:20" x14ac:dyDescent="0.3">
      <c r="A17" s="67">
        <v>43282</v>
      </c>
      <c r="B17" s="37">
        <f t="shared" si="0"/>
        <v>216414.9752702275</v>
      </c>
      <c r="C17" s="37">
        <f t="shared" si="1"/>
        <v>685.145443583663</v>
      </c>
      <c r="D17" s="59">
        <f>'7 15 16 Forecast Usage by Sched'!L25</f>
        <v>2298940.0462242397</v>
      </c>
      <c r="E17" s="41"/>
      <c r="F17" s="38"/>
      <c r="G17" s="67">
        <v>43282</v>
      </c>
      <c r="H17" s="37">
        <f t="shared" si="2"/>
        <v>121887.53793181956</v>
      </c>
      <c r="I17" s="37">
        <f t="shared" si="3"/>
        <v>384.37794635794944</v>
      </c>
      <c r="J17" s="45">
        <f>'7 15 16 Forecast Usage by Sched'!M25</f>
        <v>1609969.3419791521</v>
      </c>
      <c r="L17" s="59"/>
      <c r="M17" s="59"/>
      <c r="N17" s="59"/>
      <c r="P17" t="s">
        <v>108</v>
      </c>
      <c r="R17" s="51">
        <v>0</v>
      </c>
      <c r="T17" s="51">
        <v>0</v>
      </c>
    </row>
    <row r="18" spans="1:20" x14ac:dyDescent="0.3">
      <c r="A18" s="67">
        <v>43313</v>
      </c>
      <c r="B18" s="37">
        <f t="shared" si="0"/>
        <v>177835.68558847412</v>
      </c>
      <c r="C18" s="37">
        <f t="shared" si="1"/>
        <v>568.37803607129479</v>
      </c>
      <c r="D18" s="59">
        <f>'7 15 16 Forecast Usage by Sched'!L26</f>
        <v>2091018.4109351423</v>
      </c>
      <c r="E18" s="41"/>
      <c r="F18" s="38"/>
      <c r="G18" s="67">
        <v>43313</v>
      </c>
      <c r="H18" s="37">
        <f t="shared" si="2"/>
        <v>97001.399350228967</v>
      </c>
      <c r="I18" s="37">
        <f t="shared" si="3"/>
        <v>315.56488458161994</v>
      </c>
      <c r="J18" s="45">
        <f>'7 15 16 Forecast Usage by Sched'!M26</f>
        <v>1753780.0268915147</v>
      </c>
      <c r="L18" s="59"/>
      <c r="M18" s="59"/>
      <c r="N18" s="59"/>
      <c r="P18" t="s">
        <v>73</v>
      </c>
      <c r="R18" s="55">
        <f>SUM(R16:R17)</f>
        <v>0</v>
      </c>
      <c r="T18" s="55">
        <f>SUM(T16:T17)</f>
        <v>0</v>
      </c>
    </row>
    <row r="19" spans="1:20" x14ac:dyDescent="0.3">
      <c r="A19" s="67">
        <v>43344</v>
      </c>
      <c r="B19" s="37">
        <f t="shared" si="0"/>
        <v>130519.33874527388</v>
      </c>
      <c r="C19" s="37">
        <f t="shared" si="1"/>
        <v>444.54516008115343</v>
      </c>
      <c r="D19" s="59">
        <f>'7 15 16 Forecast Usage by Sched'!L27</f>
        <v>2564571.6446178989</v>
      </c>
      <c r="E19" s="41"/>
      <c r="F19" s="38"/>
      <c r="G19" s="67">
        <v>43344</v>
      </c>
      <c r="H19" s="37">
        <f t="shared" si="2"/>
        <v>65736.269231617654</v>
      </c>
      <c r="I19" s="37">
        <f t="shared" si="3"/>
        <v>234.61347220549555</v>
      </c>
      <c r="J19" s="45">
        <f>'7 15 16 Forecast Usage by Sched'!M27</f>
        <v>2203321.3614243348</v>
      </c>
      <c r="L19" s="59"/>
      <c r="M19" s="59"/>
      <c r="N19" s="59"/>
    </row>
    <row r="20" spans="1:20" x14ac:dyDescent="0.3">
      <c r="A20" s="67">
        <v>43374</v>
      </c>
      <c r="B20" s="37">
        <f t="shared" si="0"/>
        <v>206.78582539001945</v>
      </c>
      <c r="C20" s="37">
        <f t="shared" si="1"/>
        <v>188.46349625604046</v>
      </c>
      <c r="D20" s="59">
        <f>'7 15 16 Forecast Usage by Sched'!L28</f>
        <v>7063010.9983676886</v>
      </c>
      <c r="E20" s="41"/>
      <c r="F20" s="38"/>
      <c r="G20" s="67">
        <v>43374</v>
      </c>
      <c r="H20" s="37">
        <f t="shared" si="2"/>
        <v>-195.11754317730083</v>
      </c>
      <c r="I20" s="37">
        <f t="shared" si="3"/>
        <v>94.488493684168176</v>
      </c>
      <c r="J20" s="45">
        <f>'7 15 16 Forecast Usage by Sched'!M28</f>
        <v>4646327.4682730772</v>
      </c>
      <c r="L20" s="59"/>
      <c r="M20" s="59"/>
      <c r="N20" s="59"/>
      <c r="P20" s="57" t="s">
        <v>80</v>
      </c>
    </row>
    <row r="21" spans="1:20" x14ac:dyDescent="0.3">
      <c r="A21" s="38"/>
      <c r="B21" s="38"/>
      <c r="C21" s="38"/>
      <c r="D21" s="38"/>
      <c r="E21" s="38"/>
      <c r="F21" s="38"/>
      <c r="G21" s="38"/>
      <c r="H21" s="38"/>
      <c r="I21" s="38"/>
      <c r="J21" s="38"/>
      <c r="P21" t="s">
        <v>192</v>
      </c>
    </row>
    <row r="22" spans="1:20" x14ac:dyDescent="0.3">
      <c r="A22" s="38" t="s">
        <v>6</v>
      </c>
      <c r="B22" s="38"/>
      <c r="C22" s="37">
        <f>SUM(C9:C21)</f>
        <v>25324.74272849744</v>
      </c>
      <c r="D22" s="46">
        <f>SUM(D9:D21)</f>
        <v>122542281.61877504</v>
      </c>
      <c r="E22" s="46"/>
      <c r="F22" s="38"/>
      <c r="G22" s="38" t="s">
        <v>6</v>
      </c>
      <c r="H22" s="38"/>
      <c r="I22" s="37">
        <f>SUM(I9:I21)</f>
        <v>9861.8848939641357</v>
      </c>
      <c r="J22" s="46">
        <f>SUM(J9:J21)</f>
        <v>54299417.999931067</v>
      </c>
      <c r="P22" t="s">
        <v>74</v>
      </c>
      <c r="R22" s="59">
        <f>'Electric 2015 Rate Calc'!T5</f>
        <v>0</v>
      </c>
      <c r="T22" s="59">
        <f>D22</f>
        <v>122542281.61877504</v>
      </c>
    </row>
    <row r="23" spans="1:20" ht="17.399999999999999" customHeight="1" x14ac:dyDescent="0.3">
      <c r="A23" s="38"/>
      <c r="B23" s="38"/>
      <c r="C23" s="37"/>
      <c r="D23" s="46"/>
      <c r="E23" s="46"/>
      <c r="F23" s="38"/>
      <c r="G23" s="38"/>
      <c r="H23" s="38"/>
      <c r="I23" s="37"/>
      <c r="J23" s="46"/>
      <c r="P23" t="s">
        <v>108</v>
      </c>
      <c r="R23" s="59">
        <f>'Electric 2015 Rate Calc'!Z5</f>
        <v>0</v>
      </c>
      <c r="T23" s="59">
        <f>J22</f>
        <v>54299417.999931067</v>
      </c>
    </row>
    <row r="24" spans="1:20" ht="27" customHeight="1" x14ac:dyDescent="0.3">
      <c r="A24" s="117" t="s">
        <v>10</v>
      </c>
      <c r="B24" s="117"/>
      <c r="C24" s="39">
        <f>ROUND(C22/D22,5)</f>
        <v>2.1000000000000001E-4</v>
      </c>
      <c r="D24" s="46"/>
      <c r="E24" s="46"/>
      <c r="F24" s="38"/>
      <c r="G24" s="117" t="s">
        <v>10</v>
      </c>
      <c r="H24" s="117"/>
      <c r="I24" s="39">
        <f>ROUND(I22/J22,5)</f>
        <v>1.8000000000000001E-4</v>
      </c>
      <c r="J24" s="46"/>
    </row>
    <row r="25" spans="1:20" ht="28.2" customHeight="1" x14ac:dyDescent="0.3">
      <c r="A25" s="117" t="s">
        <v>11</v>
      </c>
      <c r="B25" s="117"/>
      <c r="C25" s="39">
        <f>B7</f>
        <v>1.8450000000000001E-2</v>
      </c>
      <c r="D25" s="46"/>
      <c r="E25" s="46"/>
      <c r="F25" s="38"/>
      <c r="G25" s="117" t="s">
        <v>11</v>
      </c>
      <c r="H25" s="117"/>
      <c r="I25" s="39">
        <f>H7</f>
        <v>1.4189999999999999E-2</v>
      </c>
      <c r="J25" s="46"/>
      <c r="P25" t="s">
        <v>75</v>
      </c>
    </row>
    <row r="26" spans="1:20" ht="28.8" customHeight="1" x14ac:dyDescent="0.3">
      <c r="A26" s="117" t="s">
        <v>12</v>
      </c>
      <c r="B26" s="117"/>
      <c r="C26" s="39">
        <f>C24+C25</f>
        <v>1.866E-2</v>
      </c>
      <c r="D26" s="47"/>
      <c r="E26" s="47"/>
      <c r="F26" s="38"/>
      <c r="G26" s="117" t="s">
        <v>12</v>
      </c>
      <c r="H26" s="117"/>
      <c r="I26" s="39">
        <f>I24+I25</f>
        <v>1.4369999999999999E-2</v>
      </c>
      <c r="J26" s="47"/>
      <c r="P26" t="s">
        <v>74</v>
      </c>
      <c r="R26" s="60"/>
      <c r="T26" s="60">
        <f>C28</f>
        <v>1.958E-2</v>
      </c>
    </row>
    <row r="27" spans="1:20" ht="28.8" customHeight="1" x14ac:dyDescent="0.3">
      <c r="A27" s="118" t="s">
        <v>13</v>
      </c>
      <c r="B27" s="118"/>
      <c r="C27" s="40">
        <f>'Conversion Factors'!$K$115</f>
        <v>1.049318</v>
      </c>
      <c r="D27" s="46"/>
      <c r="E27" s="46"/>
      <c r="F27" s="38"/>
      <c r="G27" s="118" t="s">
        <v>13</v>
      </c>
      <c r="H27" s="118"/>
      <c r="I27" s="40">
        <f>C27</f>
        <v>1.049318</v>
      </c>
      <c r="J27" s="46"/>
      <c r="P27" t="s">
        <v>108</v>
      </c>
      <c r="R27" s="60"/>
      <c r="T27" s="60">
        <f>I28</f>
        <v>1.508E-2</v>
      </c>
    </row>
    <row r="28" spans="1:20" ht="27" customHeight="1" x14ac:dyDescent="0.3">
      <c r="A28" s="38" t="s">
        <v>100</v>
      </c>
      <c r="B28" s="38"/>
      <c r="C28" s="39">
        <f>ROUND(C26*C27,5)</f>
        <v>1.958E-2</v>
      </c>
      <c r="D28" s="46"/>
      <c r="E28" s="46"/>
      <c r="F28" s="38"/>
      <c r="G28" s="38" t="s">
        <v>100</v>
      </c>
      <c r="H28" s="38"/>
      <c r="I28" s="39">
        <f>ROUND(I26*I27,5)</f>
        <v>1.508E-2</v>
      </c>
      <c r="J28" s="46"/>
    </row>
    <row r="29" spans="1:20" ht="27" customHeight="1" x14ac:dyDescent="0.3">
      <c r="A29" s="38" t="s">
        <v>88</v>
      </c>
      <c r="B29" s="38"/>
      <c r="C29" s="39">
        <f>T50</f>
        <v>0</v>
      </c>
      <c r="D29" s="46"/>
      <c r="E29" s="46"/>
      <c r="F29" s="38"/>
      <c r="G29" s="38" t="s">
        <v>88</v>
      </c>
      <c r="H29" s="38"/>
      <c r="I29" s="39">
        <f>T51</f>
        <v>0</v>
      </c>
      <c r="J29" s="46"/>
      <c r="P29" t="s">
        <v>77</v>
      </c>
    </row>
    <row r="30" spans="1:20" ht="27" customHeight="1" x14ac:dyDescent="0.3">
      <c r="A30" s="38" t="s">
        <v>89</v>
      </c>
      <c r="B30" s="38"/>
      <c r="C30" s="39">
        <f>C28+C29</f>
        <v>1.958E-2</v>
      </c>
      <c r="D30" s="46" t="s">
        <v>15</v>
      </c>
      <c r="E30" s="46"/>
      <c r="F30" s="38"/>
      <c r="G30" s="38" t="s">
        <v>89</v>
      </c>
      <c r="H30" s="38"/>
      <c r="I30" s="39">
        <f>I28+I29</f>
        <v>1.508E-2</v>
      </c>
      <c r="J30" s="46" t="s">
        <v>15</v>
      </c>
      <c r="P30" t="s">
        <v>74</v>
      </c>
      <c r="R30" s="60"/>
      <c r="T30" s="60">
        <f>'Nat Gas 2015 Rate Calc'!D30</f>
        <v>2.9270000000000001E-2</v>
      </c>
    </row>
    <row r="31" spans="1:20" ht="27" customHeight="1" x14ac:dyDescent="0.3">
      <c r="A31" s="38"/>
      <c r="B31" s="42" t="s">
        <v>96</v>
      </c>
      <c r="C31" s="39">
        <f>ROUND(C30*'Conversion Factors'!$K$108,5)</f>
        <v>1.866E-2</v>
      </c>
      <c r="D31" s="46" t="s">
        <v>14</v>
      </c>
      <c r="E31" s="46"/>
      <c r="F31" s="38"/>
      <c r="G31" s="38"/>
      <c r="H31" s="42" t="s">
        <v>96</v>
      </c>
      <c r="I31" s="39">
        <f>ROUND(I30*'Conversion Factors'!$K$108,5)</f>
        <v>1.4370000000000001E-2</v>
      </c>
      <c r="J31" s="46" t="s">
        <v>14</v>
      </c>
      <c r="P31" t="s">
        <v>108</v>
      </c>
      <c r="R31" s="60"/>
      <c r="T31" s="60">
        <f>'Nat Gas 2015 Rate Calc'!J30</f>
        <v>2.1080000000000002E-2</v>
      </c>
    </row>
    <row r="32" spans="1:20" ht="27" customHeight="1" x14ac:dyDescent="0.3">
      <c r="A32" s="38" t="s">
        <v>99</v>
      </c>
      <c r="B32" s="38"/>
      <c r="C32" s="37">
        <f>B60</f>
        <v>-192.01325095878565</v>
      </c>
      <c r="D32" s="46"/>
      <c r="E32" s="46"/>
      <c r="F32" s="38"/>
      <c r="G32" s="38" t="s">
        <v>90</v>
      </c>
      <c r="H32" s="38"/>
      <c r="I32" s="37">
        <f>H60</f>
        <v>-94.415711456633289</v>
      </c>
      <c r="J32" s="46"/>
    </row>
    <row r="33" spans="1:20" ht="14.55" customHeight="1" x14ac:dyDescent="0.3">
      <c r="A33" s="38"/>
      <c r="B33" s="38"/>
      <c r="C33" s="37"/>
      <c r="D33" s="46"/>
      <c r="E33" s="46"/>
      <c r="F33" s="38"/>
      <c r="G33" s="38"/>
      <c r="H33" s="38"/>
      <c r="I33" s="37"/>
      <c r="J33" s="46"/>
      <c r="P33" t="s">
        <v>78</v>
      </c>
    </row>
    <row r="34" spans="1:20" ht="14.55" customHeight="1" x14ac:dyDescent="0.3">
      <c r="A34" s="68" t="s">
        <v>91</v>
      </c>
      <c r="B34" s="38"/>
      <c r="C34" s="37"/>
      <c r="D34" s="46"/>
      <c r="E34" s="46"/>
      <c r="F34" s="38"/>
      <c r="G34" s="68" t="s">
        <v>91</v>
      </c>
      <c r="H34" s="38"/>
      <c r="I34" s="37"/>
      <c r="J34" s="46"/>
      <c r="P34" t="s">
        <v>74</v>
      </c>
      <c r="R34" s="60"/>
      <c r="T34" s="60">
        <f>T26-T30</f>
        <v>-9.6900000000000007E-3</v>
      </c>
    </row>
    <row r="35" spans="1:20" ht="34.200000000000003" customHeight="1" x14ac:dyDescent="0.3">
      <c r="A35" s="120" t="str">
        <f>"(1)  Deferral balance at the end of the month, Rate of "&amp;TEXT(C25,"$0.00000")&amp;" to recover the October 2016 
       balance of "&amp;TEXT(B8,"$000,000")&amp;" over 12 months."</f>
        <v>(1)  Deferral balance at the end of the month, Rate of $0.01845 to recover the October 2016 
       balance of $2,261,112 over 12 months.</v>
      </c>
      <c r="B35" s="120"/>
      <c r="C35" s="120"/>
      <c r="D35" s="120"/>
      <c r="E35" s="46"/>
      <c r="F35" s="38"/>
      <c r="G35" s="120" t="str">
        <f>"(1)  Deferral balance at the end of the month, Rate of "&amp;TEXT(I25,"$0.00000")&amp;" to recover the October 2016 
       balance of "&amp;TEXT(H8,"$000,000")&amp;" over 12 months."</f>
        <v>(1)  Deferral balance at the end of the month, Rate of $0.01419 to recover the October 2016 
       balance of $770,314 over 12 months.</v>
      </c>
      <c r="H35" s="120"/>
      <c r="I35" s="120"/>
      <c r="J35" s="120"/>
      <c r="P35" t="s">
        <v>108</v>
      </c>
      <c r="R35" s="60"/>
      <c r="T35" s="60">
        <f>T27-T31</f>
        <v>-6.0000000000000019E-3</v>
      </c>
    </row>
    <row r="36" spans="1:20" ht="36" customHeight="1" x14ac:dyDescent="0.3">
      <c r="A36" s="120" t="s">
        <v>92</v>
      </c>
      <c r="B36" s="120"/>
      <c r="C36" s="120"/>
      <c r="D36" s="120"/>
      <c r="E36" s="46"/>
      <c r="F36" s="38"/>
      <c r="G36" s="120" t="s">
        <v>92</v>
      </c>
      <c r="H36" s="120"/>
      <c r="I36" s="120"/>
      <c r="J36" s="120"/>
    </row>
    <row r="37" spans="1:20" ht="15.6" customHeight="1" x14ac:dyDescent="0.3">
      <c r="A37" s="72" t="s">
        <v>97</v>
      </c>
      <c r="B37" s="80"/>
      <c r="C37" s="80"/>
      <c r="D37" s="80"/>
      <c r="E37" s="46"/>
      <c r="F37" s="38"/>
      <c r="G37" s="72" t="s">
        <v>97</v>
      </c>
      <c r="H37" s="80"/>
      <c r="I37" s="80"/>
      <c r="J37" s="80"/>
      <c r="P37" t="s">
        <v>79</v>
      </c>
      <c r="R37" s="58"/>
      <c r="T37" s="58">
        <f>T38+T39</f>
        <v>-1513231.2168855169</v>
      </c>
    </row>
    <row r="38" spans="1:20" ht="18.600000000000001" customHeight="1" x14ac:dyDescent="0.3">
      <c r="A38" s="120" t="s">
        <v>101</v>
      </c>
      <c r="B38" s="120"/>
      <c r="C38" s="120"/>
      <c r="D38" s="120"/>
      <c r="E38" s="46"/>
      <c r="F38" s="38"/>
      <c r="G38" s="120" t="s">
        <v>101</v>
      </c>
      <c r="H38" s="120"/>
      <c r="I38" s="120"/>
      <c r="J38" s="120"/>
      <c r="P38" t="s">
        <v>74</v>
      </c>
      <c r="R38" s="58"/>
      <c r="T38" s="58">
        <f>T34*T22</f>
        <v>-1187434.7088859302</v>
      </c>
    </row>
    <row r="39" spans="1:20" ht="21" customHeight="1" x14ac:dyDescent="0.3">
      <c r="A39" s="120" t="s">
        <v>102</v>
      </c>
      <c r="B39" s="120"/>
      <c r="C39" s="120"/>
      <c r="D39" s="120"/>
      <c r="E39" s="46"/>
      <c r="F39" s="38"/>
      <c r="G39" s="120" t="s">
        <v>102</v>
      </c>
      <c r="H39" s="120"/>
      <c r="I39" s="120"/>
      <c r="J39" s="120"/>
      <c r="P39" t="s">
        <v>108</v>
      </c>
      <c r="R39" s="58"/>
      <c r="T39" s="58">
        <f>T35*T23</f>
        <v>-325796.50799958652</v>
      </c>
    </row>
    <row r="40" spans="1:20" ht="18.600000000000001" customHeight="1" x14ac:dyDescent="0.3">
      <c r="A40" s="120" t="s">
        <v>103</v>
      </c>
      <c r="B40" s="120"/>
      <c r="C40" s="120"/>
      <c r="D40" s="120"/>
      <c r="E40" s="46"/>
      <c r="F40" s="38"/>
      <c r="G40" s="120" t="s">
        <v>103</v>
      </c>
      <c r="H40" s="120"/>
      <c r="I40" s="120"/>
      <c r="J40" s="120"/>
      <c r="R40" s="58"/>
      <c r="T40" s="58"/>
    </row>
    <row r="41" spans="1:20" ht="14.55" customHeight="1" x14ac:dyDescent="0.3">
      <c r="A41" s="38"/>
      <c r="B41" s="38"/>
      <c r="C41" s="37"/>
      <c r="D41" s="46"/>
      <c r="E41" s="46"/>
      <c r="F41" s="38"/>
      <c r="G41" s="38"/>
      <c r="H41" s="38"/>
      <c r="I41" s="37"/>
      <c r="J41" s="46"/>
      <c r="P41" t="s">
        <v>81</v>
      </c>
      <c r="R41" s="61"/>
      <c r="T41" s="61"/>
    </row>
    <row r="42" spans="1:20" x14ac:dyDescent="0.3">
      <c r="A42" s="38"/>
      <c r="B42" s="38"/>
      <c r="C42" s="37"/>
      <c r="D42" s="46"/>
      <c r="E42" s="46"/>
      <c r="F42" s="38"/>
      <c r="G42" s="38"/>
      <c r="H42" s="38"/>
      <c r="I42" s="37"/>
      <c r="J42" s="46"/>
      <c r="P42" t="s">
        <v>74</v>
      </c>
      <c r="R42" s="61"/>
      <c r="T42" s="61">
        <f>T38/T9</f>
        <v>-9.6133769613252224E-3</v>
      </c>
    </row>
    <row r="43" spans="1:20" ht="27.6" customHeight="1" x14ac:dyDescent="0.3">
      <c r="A43" s="121" t="str">
        <f>A5</f>
        <v>Residential Natural Gas</v>
      </c>
      <c r="B43" s="121"/>
      <c r="C43" s="121"/>
      <c r="D43" s="121"/>
      <c r="E43" s="81"/>
      <c r="F43" s="38"/>
      <c r="G43" s="121" t="str">
        <f>G5</f>
        <v>Non-Residential Natural Gas</v>
      </c>
      <c r="H43" s="121"/>
      <c r="I43" s="121"/>
      <c r="J43" s="121"/>
      <c r="P43" t="s">
        <v>108</v>
      </c>
      <c r="R43" s="61"/>
      <c r="T43" s="61">
        <f>T39/T11</f>
        <v>-8.4879887158975254E-3</v>
      </c>
    </row>
    <row r="44" spans="1:20" x14ac:dyDescent="0.3">
      <c r="A44" s="116" t="s">
        <v>93</v>
      </c>
      <c r="B44" s="116"/>
      <c r="C44" s="116"/>
      <c r="D44" s="116"/>
      <c r="E44" s="38"/>
      <c r="F44" s="38"/>
      <c r="G44" s="116" t="s">
        <v>94</v>
      </c>
      <c r="H44" s="116"/>
      <c r="I44" s="116"/>
      <c r="J44" s="116"/>
    </row>
    <row r="45" spans="1:20" x14ac:dyDescent="0.3">
      <c r="A45" s="38"/>
      <c r="B45" s="81" t="s">
        <v>9</v>
      </c>
      <c r="C45" s="81" t="s">
        <v>4</v>
      </c>
      <c r="D45" s="79" t="s">
        <v>95</v>
      </c>
      <c r="E45" s="79"/>
      <c r="F45" s="38"/>
      <c r="G45" s="38"/>
      <c r="H45" s="81" t="s">
        <v>9</v>
      </c>
      <c r="I45" s="81" t="s">
        <v>4</v>
      </c>
      <c r="J45" s="79" t="s">
        <v>95</v>
      </c>
      <c r="P45" t="s">
        <v>106</v>
      </c>
      <c r="R45" s="51"/>
      <c r="T45" s="51"/>
    </row>
    <row r="46" spans="1:20" x14ac:dyDescent="0.3">
      <c r="A46" s="38"/>
      <c r="B46" s="38"/>
      <c r="C46" s="71" t="s">
        <v>98</v>
      </c>
      <c r="D46" s="38"/>
      <c r="E46" s="38"/>
      <c r="F46" s="38"/>
      <c r="G46" s="38"/>
      <c r="H46" s="38"/>
      <c r="I46" s="71" t="str">
        <f>C46</f>
        <v>3.25% / 3.46%</v>
      </c>
      <c r="J46" s="38"/>
      <c r="P46" t="s">
        <v>74</v>
      </c>
      <c r="R46" s="51"/>
      <c r="T46" s="51">
        <f>IF(T42&gt;0.03,T9*0.03-T38,0)</f>
        <v>0</v>
      </c>
    </row>
    <row r="47" spans="1:20" x14ac:dyDescent="0.3">
      <c r="A47" s="67"/>
      <c r="B47" s="37"/>
      <c r="C47" s="38"/>
      <c r="D47" s="38"/>
      <c r="E47" s="38"/>
      <c r="F47" s="38"/>
      <c r="G47" s="67"/>
      <c r="H47" s="37"/>
      <c r="I47" s="38"/>
      <c r="J47" s="38"/>
      <c r="P47" t="s">
        <v>108</v>
      </c>
      <c r="R47" s="51"/>
      <c r="T47" s="51">
        <f>IF(T35&gt;0.03,T11*0.03-T39,0)</f>
        <v>0</v>
      </c>
    </row>
    <row r="48" spans="1:20" x14ac:dyDescent="0.3">
      <c r="A48" s="69">
        <v>43009</v>
      </c>
      <c r="B48" s="70">
        <f>'Nat Gas 2015 Rate Calc'!C70</f>
        <v>2261111.8816917897</v>
      </c>
      <c r="C48" s="37"/>
      <c r="D48" s="38"/>
      <c r="E48" s="38"/>
      <c r="F48" s="38"/>
      <c r="G48" s="69">
        <v>43009</v>
      </c>
      <c r="H48" s="70">
        <f>'Nat Gas 2015 Rate Calc'!I70</f>
        <v>770313.62387584453</v>
      </c>
      <c r="I48" s="37"/>
      <c r="J48" s="38"/>
    </row>
    <row r="49" spans="1:21" x14ac:dyDescent="0.3">
      <c r="A49" s="67">
        <v>43040</v>
      </c>
      <c r="B49" s="37">
        <f>B48+C49-D49</f>
        <v>1979268.2378608806</v>
      </c>
      <c r="C49" s="37">
        <f t="shared" ref="C49:C60" si="4">(B48-D49/2)*0.0346/12</f>
        <v>6104.4141419670968</v>
      </c>
      <c r="D49" s="37">
        <f t="shared" ref="D49:D60" si="5">D9*C$31</f>
        <v>287948.05797287612</v>
      </c>
      <c r="E49" s="37"/>
      <c r="F49" s="38"/>
      <c r="G49" s="67">
        <v>43040</v>
      </c>
      <c r="H49" s="37">
        <f t="shared" ref="H49:H60" si="6">H48+I49-J49</f>
        <v>668398.85882446868</v>
      </c>
      <c r="I49" s="37">
        <f t="shared" ref="I49:I60" si="7">(H48-J49/2)*0.0346/12</f>
        <v>2071.1579099061705</v>
      </c>
      <c r="J49" s="37">
        <f t="shared" ref="J49:J60" si="8">J9*I$31</f>
        <v>103985.92296128193</v>
      </c>
      <c r="P49" t="s">
        <v>82</v>
      </c>
    </row>
    <row r="50" spans="1:21" x14ac:dyDescent="0.3">
      <c r="A50" s="67">
        <v>43070</v>
      </c>
      <c r="B50" s="37">
        <f t="shared" ref="B50:B60" si="9">B49+C50-D50</f>
        <v>1579640.8911762217</v>
      </c>
      <c r="C50" s="37">
        <f t="shared" si="4"/>
        <v>5123.3744628445547</v>
      </c>
      <c r="D50" s="37">
        <f t="shared" si="5"/>
        <v>404750.72114750341</v>
      </c>
      <c r="E50" s="37"/>
      <c r="F50" s="38"/>
      <c r="G50" s="67">
        <v>43070</v>
      </c>
      <c r="H50" s="37">
        <f t="shared" si="6"/>
        <v>548567.73690024647</v>
      </c>
      <c r="I50" s="37">
        <f t="shared" si="7"/>
        <v>1751.9344699755829</v>
      </c>
      <c r="J50" s="37">
        <f t="shared" si="8"/>
        <v>121583.05639419779</v>
      </c>
      <c r="P50" t="s">
        <v>74</v>
      </c>
      <c r="R50" s="60"/>
      <c r="T50" s="60">
        <f>ROUND(T46/T22,5)</f>
        <v>0</v>
      </c>
      <c r="U50" s="63"/>
    </row>
    <row r="51" spans="1:21" x14ac:dyDescent="0.3">
      <c r="A51" s="67">
        <v>43101</v>
      </c>
      <c r="B51" s="37">
        <f t="shared" si="9"/>
        <v>1179059.9275206202</v>
      </c>
      <c r="C51" s="37">
        <f t="shared" si="4"/>
        <v>3971.4015763487109</v>
      </c>
      <c r="D51" s="37">
        <f t="shared" si="5"/>
        <v>404552.36523195024</v>
      </c>
      <c r="E51" s="37"/>
      <c r="F51" s="38"/>
      <c r="G51" s="67">
        <v>43101</v>
      </c>
      <c r="H51" s="37">
        <f t="shared" si="6"/>
        <v>432488.18905350252</v>
      </c>
      <c r="I51" s="37">
        <f t="shared" si="7"/>
        <v>1412.3195325905035</v>
      </c>
      <c r="J51" s="37">
        <f t="shared" si="8"/>
        <v>117491.86737933444</v>
      </c>
      <c r="P51" t="s">
        <v>108</v>
      </c>
      <c r="R51" s="60"/>
      <c r="T51" s="60">
        <f>ROUND(T47/T23,5)</f>
        <v>0</v>
      </c>
    </row>
    <row r="52" spans="1:21" x14ac:dyDescent="0.3">
      <c r="A52" s="67">
        <v>43132</v>
      </c>
      <c r="B52" s="37">
        <f t="shared" si="9"/>
        <v>851781.7330413491</v>
      </c>
      <c r="C52" s="37">
        <f t="shared" si="4"/>
        <v>2923.5818967423688</v>
      </c>
      <c r="D52" s="37">
        <f t="shared" si="5"/>
        <v>330201.77637601347</v>
      </c>
      <c r="E52" s="37"/>
      <c r="F52" s="38"/>
      <c r="G52" s="67">
        <v>43132</v>
      </c>
      <c r="H52" s="37">
        <f t="shared" si="6"/>
        <v>336247.07293607475</v>
      </c>
      <c r="I52" s="37">
        <f t="shared" si="7"/>
        <v>1106.664561292444</v>
      </c>
      <c r="J52" s="37">
        <f t="shared" si="8"/>
        <v>97347.780678720228</v>
      </c>
    </row>
    <row r="53" spans="1:21" x14ac:dyDescent="0.3">
      <c r="A53" s="67">
        <v>43160</v>
      </c>
      <c r="B53" s="37">
        <f t="shared" si="9"/>
        <v>573231.6953532903</v>
      </c>
      <c r="C53" s="37">
        <f t="shared" si="4"/>
        <v>2051.4368711130833</v>
      </c>
      <c r="D53" s="37">
        <f t="shared" si="5"/>
        <v>280601.474559172</v>
      </c>
      <c r="E53" s="37"/>
      <c r="F53" s="38"/>
      <c r="G53" s="67">
        <v>43160</v>
      </c>
      <c r="H53" s="37">
        <f t="shared" si="6"/>
        <v>254336.63794244971</v>
      </c>
      <c r="I53" s="37">
        <f t="shared" si="7"/>
        <v>850.19914608093939</v>
      </c>
      <c r="J53" s="37">
        <f t="shared" si="8"/>
        <v>82760.634139705973</v>
      </c>
      <c r="P53" t="s">
        <v>83</v>
      </c>
    </row>
    <row r="54" spans="1:21" x14ac:dyDescent="0.3">
      <c r="A54" s="67">
        <v>43191</v>
      </c>
      <c r="B54" s="37">
        <f t="shared" si="9"/>
        <v>405975.89573305042</v>
      </c>
      <c r="C54" s="37">
        <f t="shared" si="4"/>
        <v>1409.6586858773346</v>
      </c>
      <c r="D54" s="37">
        <f t="shared" si="5"/>
        <v>168665.45830611719</v>
      </c>
      <c r="E54" s="37"/>
      <c r="F54" s="38"/>
      <c r="G54" s="67">
        <v>43191</v>
      </c>
      <c r="H54" s="37">
        <f t="shared" si="6"/>
        <v>201996.78506319399</v>
      </c>
      <c r="I54" s="37">
        <f t="shared" si="7"/>
        <v>656.93360555179913</v>
      </c>
      <c r="J54" s="37">
        <f t="shared" si="8"/>
        <v>52996.786484807511</v>
      </c>
      <c r="P54" t="s">
        <v>74</v>
      </c>
      <c r="R54" s="60"/>
      <c r="T54" s="60">
        <f>T26+T50</f>
        <v>1.958E-2</v>
      </c>
    </row>
    <row r="55" spans="1:21" x14ac:dyDescent="0.3">
      <c r="A55" s="67">
        <v>43221</v>
      </c>
      <c r="B55" s="37">
        <f t="shared" si="9"/>
        <v>312989.59520550334</v>
      </c>
      <c r="C55" s="37">
        <f t="shared" si="4"/>
        <v>1035.0164340772869</v>
      </c>
      <c r="D55" s="37">
        <f t="shared" si="5"/>
        <v>94021.316961624369</v>
      </c>
      <c r="E55" s="37"/>
      <c r="F55" s="38"/>
      <c r="G55" s="67">
        <v>43221</v>
      </c>
      <c r="H55" s="37">
        <f t="shared" si="6"/>
        <v>169406.99746139214</v>
      </c>
      <c r="I55" s="37">
        <f t="shared" si="7"/>
        <v>534.6696377451957</v>
      </c>
      <c r="J55" s="37">
        <f t="shared" si="8"/>
        <v>33124.457239547053</v>
      </c>
      <c r="P55" t="s">
        <v>108</v>
      </c>
      <c r="R55" s="60"/>
      <c r="T55" s="60">
        <f>T27+T51</f>
        <v>1.508E-2</v>
      </c>
    </row>
    <row r="56" spans="1:21" x14ac:dyDescent="0.3">
      <c r="A56" s="67">
        <v>43252</v>
      </c>
      <c r="B56" s="37">
        <f t="shared" si="9"/>
        <v>259483.23456312076</v>
      </c>
      <c r="C56" s="37">
        <f t="shared" si="4"/>
        <v>824.12687999776938</v>
      </c>
      <c r="D56" s="37">
        <f t="shared" si="5"/>
        <v>54330.487522380383</v>
      </c>
      <c r="E56" s="37"/>
      <c r="F56" s="38"/>
      <c r="G56" s="67">
        <v>43252</v>
      </c>
      <c r="H56" s="37">
        <f t="shared" si="6"/>
        <v>145634.92979713654</v>
      </c>
      <c r="I56" s="37">
        <f t="shared" si="7"/>
        <v>453.53160373565993</v>
      </c>
      <c r="J56" s="37">
        <f t="shared" si="8"/>
        <v>24225.599267991252</v>
      </c>
    </row>
    <row r="57" spans="1:21" x14ac:dyDescent="0.3">
      <c r="A57" s="67">
        <v>43282</v>
      </c>
      <c r="B57" s="37">
        <f t="shared" si="9"/>
        <v>217271.34502457996</v>
      </c>
      <c r="C57" s="37">
        <f t="shared" si="4"/>
        <v>686.33172400349667</v>
      </c>
      <c r="D57" s="37">
        <f t="shared" si="5"/>
        <v>42898.221262544314</v>
      </c>
      <c r="E57" s="37"/>
      <c r="F57" s="38"/>
      <c r="G57" s="67">
        <v>43282</v>
      </c>
      <c r="H57" s="37">
        <f t="shared" si="6"/>
        <v>122886.23106811242</v>
      </c>
      <c r="I57" s="37">
        <f t="shared" si="7"/>
        <v>386.56071521629707</v>
      </c>
      <c r="J57" s="37">
        <f t="shared" si="8"/>
        <v>23135.259444240415</v>
      </c>
      <c r="P57" t="s">
        <v>84</v>
      </c>
      <c r="R57" s="64"/>
      <c r="T57" s="64">
        <f>T58+T59</f>
        <v>3218213.097534576</v>
      </c>
    </row>
    <row r="58" spans="1:21" x14ac:dyDescent="0.3">
      <c r="A58" s="67">
        <v>43313</v>
      </c>
      <c r="B58" s="37">
        <f t="shared" si="9"/>
        <v>178823.15565623599</v>
      </c>
      <c r="C58" s="37">
        <f t="shared" si="4"/>
        <v>570.21417970576715</v>
      </c>
      <c r="D58" s="37">
        <f t="shared" si="5"/>
        <v>39018.403548049755</v>
      </c>
      <c r="E58" s="37"/>
      <c r="F58" s="38"/>
      <c r="G58" s="67">
        <v>43313</v>
      </c>
      <c r="H58" s="37">
        <f t="shared" si="6"/>
        <v>98002.401425555639</v>
      </c>
      <c r="I58" s="37">
        <f t="shared" si="7"/>
        <v>317.98934387428602</v>
      </c>
      <c r="J58" s="37">
        <f t="shared" si="8"/>
        <v>25201.818986431066</v>
      </c>
      <c r="P58" t="s">
        <v>74</v>
      </c>
      <c r="R58" s="64"/>
      <c r="T58" s="64">
        <f>T54*T22</f>
        <v>2399377.8740956155</v>
      </c>
    </row>
    <row r="59" spans="1:21" x14ac:dyDescent="0.3">
      <c r="A59" s="67">
        <v>43344</v>
      </c>
      <c r="B59" s="37">
        <f t="shared" si="9"/>
        <v>131414.86470904379</v>
      </c>
      <c r="C59" s="37">
        <f t="shared" si="4"/>
        <v>446.61594137779201</v>
      </c>
      <c r="D59" s="37">
        <f t="shared" si="5"/>
        <v>47854.906888569989</v>
      </c>
      <c r="E59" s="37"/>
      <c r="F59" s="38"/>
      <c r="G59" s="67">
        <v>43344</v>
      </c>
      <c r="H59" s="37">
        <f t="shared" si="6"/>
        <v>66577.601394850673</v>
      </c>
      <c r="I59" s="37">
        <f t="shared" si="7"/>
        <v>236.92793296273115</v>
      </c>
      <c r="J59" s="37">
        <f t="shared" si="8"/>
        <v>31661.727963667694</v>
      </c>
      <c r="P59" t="s">
        <v>108</v>
      </c>
      <c r="R59" s="64"/>
      <c r="T59" s="64">
        <f>T55*T23</f>
        <v>818835.2234389605</v>
      </c>
    </row>
    <row r="60" spans="1:21" x14ac:dyDescent="0.3">
      <c r="A60" s="69">
        <v>43374</v>
      </c>
      <c r="B60" s="70">
        <f t="shared" si="9"/>
        <v>-192.01325095878565</v>
      </c>
      <c r="C60" s="37">
        <f t="shared" si="4"/>
        <v>188.90726953848787</v>
      </c>
      <c r="D60" s="37">
        <f t="shared" si="5"/>
        <v>131795.78522954107</v>
      </c>
      <c r="E60" s="37"/>
      <c r="F60" s="38"/>
      <c r="G60" s="69">
        <v>43374</v>
      </c>
      <c r="H60" s="70">
        <f t="shared" si="6"/>
        <v>-94.415711456633289</v>
      </c>
      <c r="I60" s="37">
        <f t="shared" si="7"/>
        <v>95.708612776806504</v>
      </c>
      <c r="J60" s="37">
        <f t="shared" si="8"/>
        <v>66767.725719084119</v>
      </c>
      <c r="R60" s="64"/>
      <c r="T60" s="64"/>
    </row>
    <row r="61" spans="1:21" x14ac:dyDescent="0.3">
      <c r="A61" s="38"/>
      <c r="B61" s="38"/>
      <c r="C61" s="38"/>
      <c r="D61" s="38"/>
      <c r="E61" s="38"/>
      <c r="F61" s="38"/>
      <c r="G61" s="38"/>
      <c r="H61" s="38"/>
      <c r="I61" s="38"/>
      <c r="J61" s="38"/>
      <c r="P61" t="s">
        <v>85</v>
      </c>
    </row>
    <row r="62" spans="1:21" ht="14.4" customHeight="1" x14ac:dyDescent="0.3">
      <c r="A62" s="38"/>
      <c r="B62" s="38"/>
      <c r="C62" s="38"/>
      <c r="D62" s="37">
        <f>SUM(D49:D60)</f>
        <v>2286638.9750063429</v>
      </c>
      <c r="E62" s="38"/>
      <c r="F62" s="38"/>
      <c r="G62" s="38"/>
      <c r="H62" s="38"/>
      <c r="I62" s="38"/>
      <c r="J62" s="37">
        <f>SUM(J49:J60)</f>
        <v>780282.6366590095</v>
      </c>
      <c r="P62" t="s">
        <v>74</v>
      </c>
      <c r="R62" s="61"/>
      <c r="T62" s="61">
        <f>T58/T9</f>
        <v>1.9425172435784094E-2</v>
      </c>
    </row>
    <row r="63" spans="1:21" x14ac:dyDescent="0.3">
      <c r="P63" t="s">
        <v>108</v>
      </c>
      <c r="R63" s="61"/>
      <c r="T63" s="61">
        <f>T59/T11</f>
        <v>2.1333144972622439E-2</v>
      </c>
    </row>
    <row r="65" spans="1:21" x14ac:dyDescent="0.3">
      <c r="P65" t="s">
        <v>91</v>
      </c>
    </row>
    <row r="66" spans="1:21" ht="14.4" customHeight="1" x14ac:dyDescent="0.3">
      <c r="P66" s="131" t="s">
        <v>107</v>
      </c>
      <c r="Q66" s="131"/>
      <c r="R66" s="131"/>
      <c r="S66" s="131"/>
      <c r="T66" s="131"/>
      <c r="U66" s="131"/>
    </row>
    <row r="67" spans="1:21" x14ac:dyDescent="0.3">
      <c r="P67" s="131"/>
      <c r="Q67" s="131"/>
      <c r="R67" s="131"/>
      <c r="S67" s="131"/>
      <c r="T67" s="131"/>
      <c r="U67" s="131"/>
    </row>
    <row r="74" spans="1:21" x14ac:dyDescent="0.3">
      <c r="A74" s="38"/>
      <c r="B74" s="38"/>
      <c r="C74" s="38"/>
      <c r="D74" s="38"/>
      <c r="E74" s="38"/>
      <c r="F74" s="38"/>
      <c r="G74" s="38"/>
      <c r="H74" s="38"/>
      <c r="I74" s="38"/>
      <c r="J74" s="38"/>
    </row>
  </sheetData>
  <mergeCells count="32">
    <mergeCell ref="A1:D1"/>
    <mergeCell ref="G1:J1"/>
    <mergeCell ref="A2:D2"/>
    <mergeCell ref="G2:J2"/>
    <mergeCell ref="A3:D3"/>
    <mergeCell ref="G3:J3"/>
    <mergeCell ref="A27:B27"/>
    <mergeCell ref="G27:H27"/>
    <mergeCell ref="A35:D35"/>
    <mergeCell ref="G35:J35"/>
    <mergeCell ref="A5:D5"/>
    <mergeCell ref="G5:J5"/>
    <mergeCell ref="A24:B24"/>
    <mergeCell ref="G24:H24"/>
    <mergeCell ref="A25:B25"/>
    <mergeCell ref="G25:H25"/>
    <mergeCell ref="P7:U7"/>
    <mergeCell ref="P66:U67"/>
    <mergeCell ref="A40:D40"/>
    <mergeCell ref="G40:J40"/>
    <mergeCell ref="A43:D43"/>
    <mergeCell ref="G43:J43"/>
    <mergeCell ref="A44:D44"/>
    <mergeCell ref="G44:J44"/>
    <mergeCell ref="A36:D36"/>
    <mergeCell ref="G36:J36"/>
    <mergeCell ref="A38:D38"/>
    <mergeCell ref="G38:J38"/>
    <mergeCell ref="A39:D39"/>
    <mergeCell ref="G39:J39"/>
    <mergeCell ref="A26:B26"/>
    <mergeCell ref="G26:H26"/>
  </mergeCells>
  <hyperlinks>
    <hyperlink ref="A37" r:id="rId1"/>
    <hyperlink ref="G37" r:id="rId2"/>
  </hyperlinks>
  <printOptions horizontalCentered="1"/>
  <pageMargins left="0.7" right="0.7" top="0.55000000000000004" bottom="0.48" header="0.3" footer="0.3"/>
  <pageSetup scale="88" orientation="portrait" r:id="rId3"/>
  <rowBreaks count="1" manualBreakCount="1">
    <brk id="42" max="8" man="1"/>
  </rowBreaks>
  <colBreaks count="1" manualBreakCount="1">
    <brk id="5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155D1A13B81845BCDB9E0BC8A67242" ma:contentTypeVersion="175" ma:contentTypeDescription="" ma:contentTypeScope="" ma:versionID="497aa7b913c45b4e49d8e41b8d971f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2014-02-04T08:00:00+00:00</OpenedDate>
    <Date1 xmlns="dc463f71-b30c-4ab2-9473-d307f9d35888">2016-08-31T07:00:00+00:00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21EEB1A-08B9-487B-ACC1-AB81A8F5B25F}"/>
</file>

<file path=customXml/itemProps2.xml><?xml version="1.0" encoding="utf-8"?>
<ds:datastoreItem xmlns:ds="http://schemas.openxmlformats.org/officeDocument/2006/customXml" ds:itemID="{D51058B2-8918-4591-855C-657FB634906B}"/>
</file>

<file path=customXml/itemProps3.xml><?xml version="1.0" encoding="utf-8"?>
<ds:datastoreItem xmlns:ds="http://schemas.openxmlformats.org/officeDocument/2006/customXml" ds:itemID="{D5BA9756-BA07-4458-ACBD-C173E539A031}"/>
</file>

<file path=customXml/itemProps4.xml><?xml version="1.0" encoding="utf-8"?>
<ds:datastoreItem xmlns:ds="http://schemas.openxmlformats.org/officeDocument/2006/customXml" ds:itemID="{84B9B774-3E4C-4C4D-8F62-C0FFBE414F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7 15 16 Forecast Usage by Sched</vt:lpstr>
      <vt:lpstr>Nat Gas 2015 Rate Calc</vt:lpstr>
      <vt:lpstr>Electric 2015 Rate Calc</vt:lpstr>
      <vt:lpstr>Earnings Test and 3% Test</vt:lpstr>
      <vt:lpstr>Conversion Factors</vt:lpstr>
      <vt:lpstr>Nat Gas 2015carryover Rate Calc</vt:lpstr>
      <vt:lpstr>'Conversion Factors'!Print_Area</vt:lpstr>
      <vt:lpstr>'Earnings Test and 3% Test'!Print_Area</vt:lpstr>
      <vt:lpstr>'Electric 2015 Rate Calc'!Print_Area</vt:lpstr>
      <vt:lpstr>'Nat Gas 2015 Rate Calc'!Print_Area</vt:lpstr>
      <vt:lpstr>'Nat Gas 2015carryover Rate Calc'!Print_Area</vt:lpstr>
      <vt:lpstr>'Earnings Test and 3% Test'!Print_Titles</vt:lpstr>
      <vt:lpstr>'Electric 2015 Rate Calc'!Print_Titles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2016-08-19T17:29:34Z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0x0101006E56B4D1795A2E4DB2F0B01679ED314A00B4155D1A13B81845BCDB9E0BC8A67242</vt:lpwstr>
  </property>
  <property fmtid="{D5CDD505-2E9C-101B-9397-08002B2CF9AE}" pid="3" name="_docset_NoMedatataSyncRequired">
    <vt:lpwstr>False</vt:lpwstr>
  </property>
</Properties>
</file>