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ates\Public\Gas Sch. 141LNG Tacoma LNG\FILED\Compliance (Filed 4-XX-24)\Compliance Work Papers\"/>
    </mc:Choice>
  </mc:AlternateContent>
  <bookViews>
    <workbookView xWindow="0" yWindow="0" windowWidth="28800" windowHeight="10875"/>
  </bookViews>
  <sheets>
    <sheet name="Refund" sheetId="1" r:id="rId1"/>
    <sheet name="JDT-6 from 2022 GRC" sheetId="2" r:id="rId2"/>
  </sheets>
  <externalReferences>
    <externalReference r:id="rId3"/>
    <externalReference r:id="rId4"/>
  </externalReferences>
  <definedNames>
    <definedName name="EPMWorkbookOptions_1">"hgEAAB+LCAAAAAAABACFkD9rwzAQR/dCv4PQHstuoUOwlaFdCg0uDbRZL/LZFnEkc7pE/vgVISn5M3R9vMePu3Ix7QZxQArWu0oWWS4FOuMb67pK7rmdFS9yoR8fyh9P243323rkpAaROhfmU7CV7JnHuVIxxiw+Z5469ZTnhVovP1amxx3MrAsMzqD8q5r/K5lWhSi/sCUMfe3qEZ1uYQhYqmt49F4HBHoDhtqt4IBn8xYf3fMtn+QZDWOj"</definedName>
    <definedName name="EPMWorkbookOptions_2">"mfZJvufXemy0gRGnCzOenPfwDWRhM+ASqUvlaf+Op1eqm1/qX0N0MeyGAQAA"</definedName>
    <definedName name="_xlnm.Print_Area" localSheetId="1">'JDT-6 from 2022 GRC'!$B$1:$AC$40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35" i="1" l="1"/>
  <c r="I9" i="1" l="1"/>
  <c r="I11" i="1" l="1"/>
  <c r="G3" i="1"/>
  <c r="I3" i="1" s="1"/>
  <c r="G30" i="1"/>
  <c r="G34" i="1"/>
  <c r="O35" i="2"/>
  <c r="L35" i="2"/>
  <c r="M35" i="2" s="1"/>
  <c r="I35" i="2"/>
  <c r="O34" i="2"/>
  <c r="P34" i="2" s="1"/>
  <c r="D34" i="2"/>
  <c r="R33" i="2"/>
  <c r="F33" i="2"/>
  <c r="I32" i="2"/>
  <c r="X31" i="2"/>
  <c r="L31" i="2"/>
  <c r="O30" i="2"/>
  <c r="R29" i="2"/>
  <c r="F29" i="2"/>
  <c r="X35" i="2"/>
  <c r="Y35" i="2" s="1"/>
  <c r="S24" i="2"/>
  <c r="J24" i="2"/>
  <c r="G24" i="2"/>
  <c r="U24" i="2"/>
  <c r="D35" i="2"/>
  <c r="J35" i="2" s="1"/>
  <c r="Y23" i="2"/>
  <c r="S23" i="2"/>
  <c r="M23" i="2"/>
  <c r="U23" i="2"/>
  <c r="V23" i="2" s="1"/>
  <c r="G23" i="2"/>
  <c r="P23" i="2"/>
  <c r="Y22" i="2"/>
  <c r="S22" i="2"/>
  <c r="M22" i="2"/>
  <c r="J22" i="2"/>
  <c r="U22" i="2"/>
  <c r="G22" i="2"/>
  <c r="P22" i="2"/>
  <c r="Y21" i="2"/>
  <c r="S21" i="2"/>
  <c r="P21" i="2"/>
  <c r="M21" i="2"/>
  <c r="J21" i="2"/>
  <c r="U21" i="2"/>
  <c r="G21" i="2"/>
  <c r="Y20" i="2"/>
  <c r="S20" i="2"/>
  <c r="P20" i="2"/>
  <c r="M20" i="2"/>
  <c r="J20" i="2"/>
  <c r="U20" i="2"/>
  <c r="G20" i="2"/>
  <c r="S19" i="2"/>
  <c r="P19" i="2"/>
  <c r="U19" i="2"/>
  <c r="V19" i="2" s="1"/>
  <c r="Y19" i="2"/>
  <c r="X34" i="2"/>
  <c r="Y34" i="2" s="1"/>
  <c r="S18" i="2"/>
  <c r="L34" i="2"/>
  <c r="M34" i="2" s="1"/>
  <c r="I34" i="2"/>
  <c r="J34" i="2" s="1"/>
  <c r="F34" i="2"/>
  <c r="G34" i="2" s="1"/>
  <c r="X33" i="2"/>
  <c r="S17" i="2"/>
  <c r="O33" i="2"/>
  <c r="L33" i="2"/>
  <c r="U17" i="2"/>
  <c r="G17" i="2"/>
  <c r="AA17" i="2"/>
  <c r="X32" i="2"/>
  <c r="R32" i="2"/>
  <c r="O32" i="2"/>
  <c r="L32" i="2"/>
  <c r="J16" i="2"/>
  <c r="U16" i="2"/>
  <c r="F32" i="2"/>
  <c r="D32" i="2"/>
  <c r="R31" i="2"/>
  <c r="O31" i="2"/>
  <c r="I31" i="2"/>
  <c r="F31" i="2"/>
  <c r="D31" i="2"/>
  <c r="X30" i="2"/>
  <c r="R30" i="2"/>
  <c r="P14" i="2"/>
  <c r="L30" i="2"/>
  <c r="I30" i="2"/>
  <c r="G14" i="2"/>
  <c r="Y13" i="2"/>
  <c r="U13" i="2"/>
  <c r="AA13" i="2" s="1"/>
  <c r="AB13" i="2" s="1"/>
  <c r="AC13" i="2" s="1"/>
  <c r="S13" i="2"/>
  <c r="P13" i="2"/>
  <c r="M13" i="2"/>
  <c r="J13" i="2"/>
  <c r="G13" i="2"/>
  <c r="X29" i="2"/>
  <c r="R25" i="2"/>
  <c r="O29" i="2"/>
  <c r="L29" i="2"/>
  <c r="I29" i="2"/>
  <c r="F25" i="2"/>
  <c r="D25" i="2"/>
  <c r="P9" i="2"/>
  <c r="M9" i="2"/>
  <c r="J9" i="2"/>
  <c r="G9" i="2"/>
  <c r="Y8" i="2"/>
  <c r="S8" i="2"/>
  <c r="P8" i="2"/>
  <c r="M8" i="2"/>
  <c r="J8" i="2"/>
  <c r="AA7" i="2"/>
  <c r="AB17" i="2" l="1"/>
  <c r="J32" i="2"/>
  <c r="X36" i="2"/>
  <c r="Y36" i="2" s="1"/>
  <c r="G31" i="2"/>
  <c r="AA20" i="2"/>
  <c r="AB20" i="2" s="1"/>
  <c r="AC20" i="2" s="1"/>
  <c r="V20" i="2"/>
  <c r="G25" i="2"/>
  <c r="J31" i="2"/>
  <c r="V17" i="2"/>
  <c r="U33" i="2"/>
  <c r="V33" i="2" s="1"/>
  <c r="G32" i="2"/>
  <c r="J29" i="2"/>
  <c r="M32" i="2"/>
  <c r="M33" i="2"/>
  <c r="Y30" i="2"/>
  <c r="AA16" i="2"/>
  <c r="U32" i="2"/>
  <c r="V32" i="2" s="1"/>
  <c r="V16" i="2"/>
  <c r="L36" i="2"/>
  <c r="M36" i="2" s="1"/>
  <c r="M30" i="2"/>
  <c r="P31" i="2"/>
  <c r="P32" i="2"/>
  <c r="P33" i="2"/>
  <c r="V21" i="2"/>
  <c r="AA21" i="2"/>
  <c r="AB21" i="2" s="1"/>
  <c r="AC21" i="2" s="1"/>
  <c r="Y33" i="2"/>
  <c r="G33" i="2"/>
  <c r="O36" i="2"/>
  <c r="P36" i="2" s="1"/>
  <c r="P29" i="2"/>
  <c r="S31" i="2"/>
  <c r="S32" i="2"/>
  <c r="U35" i="2"/>
  <c r="V35" i="2" s="1"/>
  <c r="V24" i="2"/>
  <c r="M31" i="2"/>
  <c r="S25" i="2"/>
  <c r="S30" i="2"/>
  <c r="Y32" i="2"/>
  <c r="AA22" i="2"/>
  <c r="AB22" i="2" s="1"/>
  <c r="AC22" i="2" s="1"/>
  <c r="V22" i="2"/>
  <c r="Y31" i="2"/>
  <c r="P35" i="2"/>
  <c r="I25" i="2"/>
  <c r="J25" i="2" s="1"/>
  <c r="M12" i="2"/>
  <c r="S14" i="2"/>
  <c r="Y16" i="2"/>
  <c r="J23" i="2"/>
  <c r="D30" i="2"/>
  <c r="J30" i="2" s="1"/>
  <c r="J12" i="2"/>
  <c r="M15" i="2"/>
  <c r="Y15" i="2"/>
  <c r="P18" i="2"/>
  <c r="M19" i="2"/>
  <c r="AA19" i="2"/>
  <c r="AB19" i="2" s="1"/>
  <c r="AC19" i="2" s="1"/>
  <c r="D29" i="2"/>
  <c r="D36" i="2" s="1"/>
  <c r="D33" i="2"/>
  <c r="S33" i="2" s="1"/>
  <c r="V13" i="2"/>
  <c r="P15" i="2"/>
  <c r="M16" i="2"/>
  <c r="G18" i="2"/>
  <c r="U14" i="2"/>
  <c r="U18" i="2"/>
  <c r="AA18" i="2" s="1"/>
  <c r="M24" i="2"/>
  <c r="AA24" i="2"/>
  <c r="L25" i="2"/>
  <c r="M25" i="2" s="1"/>
  <c r="X25" i="2"/>
  <c r="Y25" i="2" s="1"/>
  <c r="F30" i="2"/>
  <c r="G30" i="2" s="1"/>
  <c r="I33" i="2"/>
  <c r="J33" i="2" s="1"/>
  <c r="R34" i="2"/>
  <c r="S34" i="2" s="1"/>
  <c r="Y12" i="2"/>
  <c r="P12" i="2"/>
  <c r="J14" i="2"/>
  <c r="G15" i="2"/>
  <c r="S15" i="2"/>
  <c r="P16" i="2"/>
  <c r="M17" i="2"/>
  <c r="Y17" i="2"/>
  <c r="J18" i="2"/>
  <c r="G19" i="2"/>
  <c r="AA23" i="2"/>
  <c r="AB23" i="2" s="1"/>
  <c r="AC23" i="2" s="1"/>
  <c r="P24" i="2"/>
  <c r="J17" i="2"/>
  <c r="U15" i="2"/>
  <c r="O25" i="2"/>
  <c r="P25" i="2" s="1"/>
  <c r="F35" i="2"/>
  <c r="G35" i="2" s="1"/>
  <c r="R35" i="2"/>
  <c r="S35" i="2" s="1"/>
  <c r="Y24" i="2"/>
  <c r="S29" i="2"/>
  <c r="G12" i="2"/>
  <c r="S12" i="2"/>
  <c r="M14" i="2"/>
  <c r="Y14" i="2"/>
  <c r="J15" i="2"/>
  <c r="G16" i="2"/>
  <c r="S16" i="2"/>
  <c r="P17" i="2"/>
  <c r="M18" i="2"/>
  <c r="Y18" i="2"/>
  <c r="J19" i="2"/>
  <c r="G29" i="2"/>
  <c r="U12" i="2"/>
  <c r="AA34" i="2" l="1"/>
  <c r="AB18" i="2"/>
  <c r="F36" i="2"/>
  <c r="G36" i="2" s="1"/>
  <c r="U30" i="2"/>
  <c r="V30" i="2" s="1"/>
  <c r="V14" i="2"/>
  <c r="U31" i="2"/>
  <c r="V31" i="2" s="1"/>
  <c r="V15" i="2"/>
  <c r="AA15" i="2"/>
  <c r="R36" i="2"/>
  <c r="S36" i="2" s="1"/>
  <c r="U25" i="2"/>
  <c r="V25" i="2" s="1"/>
  <c r="U29" i="2"/>
  <c r="AA12" i="2"/>
  <c r="V12" i="2"/>
  <c r="AA32" i="2"/>
  <c r="AB16" i="2"/>
  <c r="Y29" i="2"/>
  <c r="U34" i="2"/>
  <c r="V34" i="2" s="1"/>
  <c r="V18" i="2"/>
  <c r="AB24" i="2"/>
  <c r="AA35" i="2"/>
  <c r="P30" i="2"/>
  <c r="M29" i="2"/>
  <c r="AC17" i="2"/>
  <c r="AB33" i="2"/>
  <c r="AC33" i="2" s="1"/>
  <c r="AA14" i="2"/>
  <c r="I36" i="2"/>
  <c r="J36" i="2" s="1"/>
  <c r="AA33" i="2"/>
  <c r="AB32" i="2" l="1"/>
  <c r="AC32" i="2" s="1"/>
  <c r="AC16" i="2"/>
  <c r="AA29" i="2"/>
  <c r="AA25" i="2"/>
  <c r="AB12" i="2"/>
  <c r="AC24" i="2"/>
  <c r="AB35" i="2"/>
  <c r="AC35" i="2" s="1"/>
  <c r="AC18" i="2"/>
  <c r="AB34" i="2"/>
  <c r="AC34" i="2" s="1"/>
  <c r="AB15" i="2"/>
  <c r="AA31" i="2"/>
  <c r="U36" i="2"/>
  <c r="V36" i="2" s="1"/>
  <c r="V29" i="2"/>
  <c r="AA30" i="2"/>
  <c r="AB14" i="2"/>
  <c r="AC14" i="2" l="1"/>
  <c r="AB30" i="2"/>
  <c r="AC30" i="2" s="1"/>
  <c r="AB25" i="2"/>
  <c r="AC25" i="2" s="1"/>
  <c r="AC12" i="2"/>
  <c r="AB29" i="2"/>
  <c r="AB31" i="2"/>
  <c r="AC31" i="2" s="1"/>
  <c r="AC15" i="2"/>
  <c r="AA36" i="2"/>
  <c r="AB36" i="2" l="1"/>
  <c r="AC36" i="2" s="1"/>
  <c r="AC29" i="2"/>
  <c r="G36" i="1" l="1"/>
  <c r="I8" i="1" s="1"/>
  <c r="G38" i="1" l="1"/>
  <c r="G4" i="1" l="1"/>
  <c r="I13" i="1" s="1"/>
  <c r="G6" i="1" l="1"/>
  <c r="I10" i="1" l="1"/>
  <c r="I12" i="1" s="1"/>
  <c r="I14" i="1" s="1"/>
  <c r="I5" i="1" s="1"/>
  <c r="I4" i="1" l="1"/>
  <c r="I6" i="1" l="1"/>
</calcChain>
</file>

<file path=xl/sharedStrings.xml><?xml version="1.0" encoding="utf-8"?>
<sst xmlns="http://schemas.openxmlformats.org/spreadsheetml/2006/main" count="128" uniqueCount="104">
  <si>
    <t>Estimate</t>
  </si>
  <si>
    <t>Puget Sound Energy</t>
  </si>
  <si>
    <t>2022 Gas General Rate Case Filing</t>
  </si>
  <si>
    <t>Rate Change Impacts by Rate Schedule of Proposed Rate Year #1 Rates</t>
  </si>
  <si>
    <t>Proposed Rates Effective January 1, 2023</t>
  </si>
  <si>
    <t>GRC Revenue Changes</t>
  </si>
  <si>
    <t>Other Revenue Changes</t>
  </si>
  <si>
    <t>12ME Dec. 2023</t>
  </si>
  <si>
    <t>Total Forecasted</t>
  </si>
  <si>
    <t>Sch. 141N</t>
  </si>
  <si>
    <t>Sch. 141R</t>
  </si>
  <si>
    <t>Sch. 141D</t>
  </si>
  <si>
    <t>Sch. 149</t>
  </si>
  <si>
    <t>Sch. 141X</t>
  </si>
  <si>
    <t>Rate</t>
  </si>
  <si>
    <t xml:space="preserve">Revenue at </t>
  </si>
  <si>
    <t>Base Rate</t>
  </si>
  <si>
    <t>Rate Plan</t>
  </si>
  <si>
    <t>Pipeline</t>
  </si>
  <si>
    <t>CRM</t>
  </si>
  <si>
    <t>GRC</t>
  </si>
  <si>
    <t>EDIT</t>
  </si>
  <si>
    <t>Revenue at</t>
  </si>
  <si>
    <t>Total</t>
  </si>
  <si>
    <t>Rate Class</t>
  </si>
  <si>
    <t>Schedule</t>
  </si>
  <si>
    <t>Current Rates (1)</t>
  </si>
  <si>
    <t>Revenue Change</t>
  </si>
  <si>
    <t xml:space="preserve"> % Change</t>
  </si>
  <si>
    <t>% Change</t>
  </si>
  <si>
    <t>Proposed Rates</t>
  </si>
  <si>
    <t>A</t>
  </si>
  <si>
    <t>B</t>
  </si>
  <si>
    <t>C</t>
  </si>
  <si>
    <t>D</t>
  </si>
  <si>
    <t>E = D/C</t>
  </si>
  <si>
    <t>F</t>
  </si>
  <si>
    <t>G = F/C</t>
  </si>
  <si>
    <t>H</t>
  </si>
  <si>
    <t>I = H/C</t>
  </si>
  <si>
    <t>J</t>
  </si>
  <si>
    <t>K = J/C</t>
  </si>
  <si>
    <t>L</t>
  </si>
  <si>
    <t>M = L/C</t>
  </si>
  <si>
    <t>N = D+F+H+J+L</t>
  </si>
  <si>
    <t>O = N/C</t>
  </si>
  <si>
    <t>P</t>
  </si>
  <si>
    <t>Q = P/C</t>
  </si>
  <si>
    <t>R = C+N+P</t>
  </si>
  <si>
    <t>S = R-C</t>
  </si>
  <si>
    <t>T = S/C</t>
  </si>
  <si>
    <t>Residential</t>
  </si>
  <si>
    <t>23,53</t>
  </si>
  <si>
    <t>Residential Gas Lights</t>
  </si>
  <si>
    <t>Commercial &amp; Industrial</t>
  </si>
  <si>
    <t>Large Volume</t>
  </si>
  <si>
    <t>Interruptible</t>
  </si>
  <si>
    <t>Limited Interruptible</t>
  </si>
  <si>
    <t>Non-exclusive Interruptible</t>
  </si>
  <si>
    <t>Commercial &amp; Industrial Transportation</t>
  </si>
  <si>
    <t>31T</t>
  </si>
  <si>
    <t>Large Volume Transportation</t>
  </si>
  <si>
    <t>41T</t>
  </si>
  <si>
    <t>Interruptible Transportation</t>
  </si>
  <si>
    <t>85T</t>
  </si>
  <si>
    <t>Limited Interruptible Transportation</t>
  </si>
  <si>
    <t>86T</t>
  </si>
  <si>
    <t>Non-exclusive Interruptible Transportation</t>
  </si>
  <si>
    <t>87T</t>
  </si>
  <si>
    <t>Contracts</t>
  </si>
  <si>
    <t>By Customer Class:</t>
  </si>
  <si>
    <t>Residential (16,23,53)</t>
  </si>
  <si>
    <t>Commercial &amp; industrial (31,31T)</t>
  </si>
  <si>
    <t>Large volume (41,41T)</t>
  </si>
  <si>
    <t>Interruptible (85,85T)</t>
  </si>
  <si>
    <t>Limited interruptible (86,86T)</t>
  </si>
  <si>
    <t>Non exclusive interruptible (87,87T)</t>
  </si>
  <si>
    <t>Subtotal</t>
  </si>
  <si>
    <t>(1) Rates effective November 1, 2021</t>
  </si>
  <si>
    <t>Note 1:  Schedule 141X Rates are effective October 1, 2021 to December 31, 2022 and will go to zero on January 1, 2023.</t>
  </si>
  <si>
    <t>Note:  Amounts in bold and italics are different from the October 18, 2022 PSE Response to WUTC Bench Request 002.</t>
  </si>
  <si>
    <t>JDT-6 from 2022 GRC</t>
  </si>
  <si>
    <t>Schedule 141D 2022 GRC Revenues paid by Schedule 87T</t>
  </si>
  <si>
    <t>Year</t>
  </si>
  <si>
    <t>Month</t>
  </si>
  <si>
    <t>Schedule 141D Collected -----&gt;</t>
  </si>
  <si>
    <t>Schedule 88T Revenue Allocator per Order 07</t>
  </si>
  <si>
    <t>Amount that should have been paid by 88T</t>
  </si>
  <si>
    <t>no CIAC</t>
  </si>
  <si>
    <t>w/ CIAC</t>
  </si>
  <si>
    <t>Reduction in 2022GRC Revenue Requirement due to CIAC</t>
  </si>
  <si>
    <t>Refund to Non-88T Customers</t>
  </si>
  <si>
    <t>Deferred revenue for </t>
  </si>
  <si>
    <t>SAP Order 49500145    </t>
  </si>
  <si>
    <t>4 mile 16 inch pipe</t>
  </si>
  <si>
    <t xml:space="preserve">Schedule 141D </t>
  </si>
  <si>
    <t>Total Revenue Collected for Schedule 141D all customers</t>
  </si>
  <si>
    <t>Total Schedule 141D Collected from Sales Customers</t>
  </si>
  <si>
    <t>Reduction as if CIAC had been included from inception</t>
  </si>
  <si>
    <t>Total amount that would have been collected if CIAC had been included from inception</t>
  </si>
  <si>
    <t>Total amount Sales Customers should have paid with CIAC incorporated</t>
  </si>
  <si>
    <t>Sales Customers Revenue Allocator</t>
  </si>
  <si>
    <t>Additional refund due to CIAC</t>
  </si>
  <si>
    <t>Amount Sales Customers paid based on no CIAC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</si>
</sst>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&quot;$&quot;* #,##0.00000_);_(&quot;$&quot;* \(#,##0.00000\);_(&quot;$&quot;* &quot;-&quot;??_);_(@_)"/>
    <numFmt numFmtId="166" formatCode="_(&quot;$&quot;* #,##0.00000_);_(&quot;$&quot;* \(#,##0.00000\);_(&quot;$&quot;* &quot;-&quot;?????_);_(@_)"/>
    <numFmt numFmtId="167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OURIE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sz val="11"/>
      <color rgb="FF00808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i/>
      <sz val="11"/>
      <color rgb="FF0000FF"/>
      <name val="Calibri"/>
      <family val="2"/>
    </font>
    <font>
      <u/>
      <sz val="11"/>
      <name val="Calibri"/>
      <family val="2"/>
    </font>
    <font>
      <b/>
      <sz val="11"/>
      <name val="Calibri"/>
      <family val="2"/>
    </font>
    <font>
      <b/>
      <i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0" xfId="0" applyFont="1" applyAlignment="1"/>
    <xf numFmtId="0" fontId="0" fillId="0" borderId="0" xfId="0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42" fontId="8" fillId="0" borderId="0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42" fontId="9" fillId="0" borderId="0" xfId="0" applyNumberFormat="1" applyFont="1" applyAlignment="1">
      <alignment horizontal="left"/>
    </xf>
    <xf numFmtId="42" fontId="9" fillId="0" borderId="0" xfId="0" applyNumberFormat="1" applyFont="1" applyBorder="1" applyAlignment="1">
      <alignment horizontal="left"/>
    </xf>
    <xf numFmtId="164" fontId="9" fillId="0" borderId="0" xfId="0" applyNumberFormat="1" applyFont="1"/>
    <xf numFmtId="10" fontId="0" fillId="0" borderId="0" xfId="0" applyNumberFormat="1" applyFont="1"/>
    <xf numFmtId="165" fontId="0" fillId="0" borderId="0" xfId="0" applyNumberFormat="1" applyBorder="1"/>
    <xf numFmtId="10" fontId="0" fillId="0" borderId="0" xfId="0" applyNumberFormat="1" applyFont="1" applyBorder="1"/>
    <xf numFmtId="42" fontId="9" fillId="0" borderId="0" xfId="0" applyNumberFormat="1" applyFont="1" applyBorder="1"/>
    <xf numFmtId="164" fontId="8" fillId="0" borderId="0" xfId="0" applyNumberFormat="1" applyFont="1"/>
    <xf numFmtId="10" fontId="8" fillId="0" borderId="0" xfId="0" applyNumberFormat="1" applyFont="1"/>
    <xf numFmtId="164" fontId="1" fillId="0" borderId="0" xfId="0" applyNumberFormat="1" applyFont="1"/>
    <xf numFmtId="42" fontId="0" fillId="0" borderId="0" xfId="0" applyNumberFormat="1" applyFont="1"/>
    <xf numFmtId="42" fontId="8" fillId="0" borderId="0" xfId="0" applyNumberFormat="1" applyFont="1" applyBorder="1"/>
    <xf numFmtId="42" fontId="0" fillId="0" borderId="1" xfId="0" applyNumberFormat="1" applyBorder="1"/>
    <xf numFmtId="42" fontId="0" fillId="0" borderId="0" xfId="0" applyNumberFormat="1" applyBorder="1"/>
    <xf numFmtId="164" fontId="0" fillId="0" borderId="1" xfId="0" applyNumberFormat="1" applyFont="1" applyBorder="1"/>
    <xf numFmtId="10" fontId="0" fillId="0" borderId="1" xfId="0" applyNumberFormat="1" applyFont="1" applyBorder="1"/>
    <xf numFmtId="164" fontId="8" fillId="0" borderId="1" xfId="0" applyNumberFormat="1" applyFont="1" applyBorder="1"/>
    <xf numFmtId="10" fontId="8" fillId="0" borderId="1" xfId="0" applyNumberFormat="1" applyFont="1" applyBorder="1"/>
    <xf numFmtId="0" fontId="10" fillId="0" borderId="0" xfId="0" applyFont="1" applyBorder="1" applyAlignment="1">
      <alignment horizontal="left"/>
    </xf>
    <xf numFmtId="3" fontId="10" fillId="0" borderId="0" xfId="0" applyNumberFormat="1" applyFont="1" applyFill="1" applyBorder="1"/>
    <xf numFmtId="164" fontId="10" fillId="0" borderId="0" xfId="0" applyNumberFormat="1" applyFont="1" applyFill="1" applyBorder="1"/>
    <xf numFmtId="166" fontId="11" fillId="0" borderId="0" xfId="0" applyNumberFormat="1" applyFont="1" applyFill="1" applyBorder="1"/>
    <xf numFmtId="166" fontId="10" fillId="0" borderId="0" xfId="0" applyNumberFormat="1" applyFont="1" applyFill="1" applyBorder="1"/>
    <xf numFmtId="166" fontId="12" fillId="0" borderId="0" xfId="0" applyNumberFormat="1" applyFont="1" applyFill="1" applyBorder="1"/>
    <xf numFmtId="10" fontId="10" fillId="0" borderId="0" xfId="0" applyNumberFormat="1" applyFont="1" applyBorder="1"/>
    <xf numFmtId="0" fontId="10" fillId="0" borderId="0" xfId="0" applyFont="1"/>
    <xf numFmtId="164" fontId="0" fillId="0" borderId="0" xfId="0" applyNumberFormat="1" applyFont="1"/>
    <xf numFmtId="42" fontId="0" fillId="0" borderId="0" xfId="0" applyNumberFormat="1" applyFont="1" applyBorder="1"/>
    <xf numFmtId="10" fontId="0" fillId="0" borderId="0" xfId="0" applyNumberFormat="1" applyBorder="1"/>
    <xf numFmtId="0" fontId="13" fillId="0" borderId="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Border="1" applyAlignment="1">
      <alignment horizontal="left"/>
    </xf>
    <xf numFmtId="164" fontId="10" fillId="0" borderId="0" xfId="0" applyNumberFormat="1" applyFont="1" applyBorder="1"/>
    <xf numFmtId="42" fontId="11" fillId="0" borderId="0" xfId="0" applyNumberFormat="1" applyFont="1" applyBorder="1"/>
    <xf numFmtId="0" fontId="10" fillId="0" borderId="0" xfId="0" applyFont="1" applyBorder="1"/>
    <xf numFmtId="0" fontId="12" fillId="0" borderId="0" xfId="0" applyFont="1" applyBorder="1"/>
    <xf numFmtId="0" fontId="10" fillId="0" borderId="0" xfId="0" applyFont="1" applyAlignment="1">
      <alignment horizontal="left"/>
    </xf>
    <xf numFmtId="164" fontId="10" fillId="0" borderId="0" xfId="0" applyNumberFormat="1" applyFont="1" applyFill="1"/>
    <xf numFmtId="0" fontId="10" fillId="0" borderId="0" xfId="0" applyFont="1" applyFill="1" applyBorder="1"/>
    <xf numFmtId="164" fontId="12" fillId="0" borderId="0" xfId="0" applyNumberFormat="1" applyFont="1" applyFill="1"/>
    <xf numFmtId="0" fontId="10" fillId="0" borderId="0" xfId="0" applyFont="1" applyFill="1" applyBorder="1" applyAlignment="1">
      <alignment horizontal="left"/>
    </xf>
    <xf numFmtId="164" fontId="10" fillId="0" borderId="1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1" xfId="0" applyNumberFormat="1" applyFont="1" applyFill="1" applyBorder="1"/>
    <xf numFmtId="164" fontId="12" fillId="0" borderId="1" xfId="0" applyNumberFormat="1" applyFont="1" applyFill="1" applyBorder="1"/>
    <xf numFmtId="164" fontId="11" fillId="0" borderId="0" xfId="0" applyNumberFormat="1" applyFont="1" applyFill="1"/>
    <xf numFmtId="164" fontId="11" fillId="0" borderId="0" xfId="0" applyNumberFormat="1" applyFont="1" applyFill="1" applyBorder="1"/>
    <xf numFmtId="3" fontId="0" fillId="0" borderId="0" xfId="0" applyNumberFormat="1"/>
    <xf numFmtId="164" fontId="0" fillId="0" borderId="0" xfId="0" applyNumberFormat="1"/>
    <xf numFmtId="164" fontId="0" fillId="0" borderId="0" xfId="0" applyNumberFormat="1" applyBorder="1"/>
    <xf numFmtId="3" fontId="0" fillId="0" borderId="0" xfId="0" applyNumberFormat="1" applyBorder="1"/>
    <xf numFmtId="0" fontId="10" fillId="0" borderId="0" xfId="0" quotePrefix="1" applyFont="1" applyAlignment="1">
      <alignment horizontal="left"/>
    </xf>
    <xf numFmtId="0" fontId="15" fillId="0" borderId="0" xfId="0" applyFont="1" applyFill="1"/>
    <xf numFmtId="42" fontId="0" fillId="0" borderId="0" xfId="0" applyNumberFormat="1"/>
    <xf numFmtId="0" fontId="2" fillId="2" borderId="0" xfId="0" applyFont="1" applyFill="1" applyAlignment="1">
      <alignment horizontal="center"/>
    </xf>
    <xf numFmtId="167" fontId="0" fillId="0" borderId="0" xfId="2" applyNumberFormat="1" applyFont="1"/>
    <xf numFmtId="44" fontId="0" fillId="0" borderId="0" xfId="0" applyNumberFormat="1"/>
    <xf numFmtId="41" fontId="0" fillId="0" borderId="0" xfId="0" applyNumberFormat="1"/>
    <xf numFmtId="41" fontId="0" fillId="0" borderId="1" xfId="0" applyNumberFormat="1" applyBorder="1"/>
    <xf numFmtId="0" fontId="4" fillId="0" borderId="6" xfId="0" applyFont="1" applyBorder="1" applyAlignment="1">
      <alignment horizontal="center"/>
    </xf>
    <xf numFmtId="9" fontId="0" fillId="0" borderId="0" xfId="2" applyFont="1" applyAlignment="1">
      <alignment horizontal="center"/>
    </xf>
    <xf numFmtId="5" fontId="0" fillId="0" borderId="0" xfId="0" applyNumberFormat="1"/>
    <xf numFmtId="42" fontId="0" fillId="0" borderId="0" xfId="1" applyNumberFormat="1" applyFont="1"/>
    <xf numFmtId="44" fontId="0" fillId="0" borderId="0" xfId="0" applyNumberFormat="1" applyBorder="1"/>
    <xf numFmtId="44" fontId="0" fillId="0" borderId="0" xfId="0" applyNumberFormat="1" applyFill="1" applyBorder="1"/>
    <xf numFmtId="42" fontId="0" fillId="0" borderId="0" xfId="1" applyNumberFormat="1" applyFont="1" applyFill="1" applyBorder="1"/>
    <xf numFmtId="41" fontId="0" fillId="0" borderId="0" xfId="0" applyNumberFormat="1" applyFill="1" applyBorder="1"/>
    <xf numFmtId="44" fontId="0" fillId="0" borderId="0" xfId="1" applyFont="1" applyFill="1" applyBorder="1"/>
    <xf numFmtId="167" fontId="0" fillId="0" borderId="0" xfId="2" applyNumberFormat="1" applyFont="1" applyFill="1" applyBorder="1"/>
    <xf numFmtId="0" fontId="0" fillId="0" borderId="0" xfId="0" applyFill="1" applyBorder="1"/>
    <xf numFmtId="9" fontId="0" fillId="0" borderId="0" xfId="0" applyNumberFormat="1"/>
    <xf numFmtId="0" fontId="5" fillId="0" borderId="7" xfId="0" applyFont="1" applyBorder="1"/>
    <xf numFmtId="0" fontId="0" fillId="0" borderId="7" xfId="0" applyBorder="1"/>
    <xf numFmtId="41" fontId="0" fillId="0" borderId="2" xfId="0" applyNumberFormat="1" applyBorder="1"/>
    <xf numFmtId="42" fontId="0" fillId="0" borderId="2" xfId="0" applyNumberFormat="1" applyBorder="1"/>
    <xf numFmtId="42" fontId="0" fillId="0" borderId="1" xfId="1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30393-PSE-WP-Compl-LNG-Sch141D-RevReq-04-30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30393-PSE-WP-Compl-GAS-RATE-SPREAD-DESIGN-SCH-141D-141N-88T-04-30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LNG Upgrade Rev Req"/>
      <sheetName val="Sch 141D from 2022 GRC"/>
      <sheetName val="No CIAC ==&gt;"/>
      <sheetName val="RB by FERC no CIAC"/>
      <sheetName val="Plant in Service no CIAC"/>
      <sheetName val="Accum Depr no CIAC"/>
      <sheetName val="Deprec Exp no CIAC"/>
      <sheetName val="w CIAC ===&gt;"/>
      <sheetName val="RB by FERC w CIAC"/>
      <sheetName val="Plant in Service w CIAC"/>
      <sheetName val="Accum Depr w CIAC"/>
      <sheetName val="Deprec Exp w CIAC"/>
      <sheetName val="Diff===&gt;"/>
      <sheetName val="RB by FERC Diff"/>
      <sheetName val="Plant in Service Diff"/>
      <sheetName val="Accum Depr Diff"/>
      <sheetName val="Deprec Exp Diff"/>
      <sheetName val="Inputs ===&gt;"/>
      <sheetName val="Depr Rates"/>
      <sheetName val="Pivot_1124"/>
      <sheetName val="PP1124_09_2021"/>
      <sheetName val="Ordered CIAC Calc"/>
      <sheetName val="Ordered Allocation "/>
      <sheetName val="Gas Conv Factor"/>
    </sheetNames>
    <sheetDataSet>
      <sheetData sheetId="0">
        <row r="71">
          <cell r="D71">
            <v>2923945.5969997952</v>
          </cell>
        </row>
        <row r="73">
          <cell r="G73">
            <v>0.92</v>
          </cell>
        </row>
      </sheetData>
      <sheetData sheetId="1">
        <row r="9">
          <cell r="C9">
            <v>746243.11000000022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7">
          <cell r="C7">
            <v>746243.11000000022</v>
          </cell>
        </row>
      </sheetData>
      <sheetData sheetId="9">
        <row r="2">
          <cell r="E2">
            <v>-2477077.2077045701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Rate Summary"/>
      <sheetName val="Rate Design (Sch. 141D Refund)"/>
      <sheetName val="Rate Spread (Sch. 141D Refund)"/>
      <sheetName val="Rate Design (Sch. 141D)"/>
      <sheetName val="Rate Spread (Sch. 141D Blocks)"/>
      <sheetName val="Rate Spread (Sch. 141D)"/>
      <sheetName val="Sch. 88T Rate Design"/>
      <sheetName val="Rate Design (Sch. 141N)"/>
      <sheetName val="Rate Spread (Sch. 141N Blocks)"/>
      <sheetName val="Rate Spread (Sch. 141N)"/>
      <sheetName val="Workpapers--&gt;"/>
      <sheetName val="Exh. WJD-3 p. 1"/>
      <sheetName val="Exh JDT-5 (JDT-Rate Spread)"/>
      <sheetName val="Exh JDT-5 (JDT-INTRPL-RD)"/>
      <sheetName val="RY#2 Therms"/>
      <sheetName val="Puget LNG"/>
    </sheetNames>
    <sheetDataSet>
      <sheetData sheetId="0"/>
      <sheetData sheetId="1"/>
      <sheetData sheetId="2"/>
      <sheetData sheetId="3"/>
      <sheetData sheetId="4"/>
      <sheetData sheetId="5"/>
      <sheetData sheetId="6">
        <row r="22">
          <cell r="F22">
            <v>0.70385188325057535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6"/>
  <sheetViews>
    <sheetView tabSelected="1" zoomScale="88" zoomScaleNormal="88" workbookViewId="0">
      <selection activeCell="L33" sqref="L33"/>
    </sheetView>
  </sheetViews>
  <sheetFormatPr defaultRowHeight="15" x14ac:dyDescent="0.25"/>
  <cols>
    <col min="2" max="3" width="13.5703125" customWidth="1"/>
    <col min="6" max="6" width="14.28515625" bestFit="1" customWidth="1"/>
    <col min="7" max="7" width="15.7109375" bestFit="1" customWidth="1"/>
    <col min="9" max="9" width="15.7109375" bestFit="1" customWidth="1"/>
    <col min="10" max="10" width="13.5703125" bestFit="1" customWidth="1"/>
    <col min="11" max="12" width="15" bestFit="1" customWidth="1"/>
  </cols>
  <sheetData>
    <row r="1" spans="2:11" x14ac:dyDescent="0.25">
      <c r="I1" s="85"/>
    </row>
    <row r="2" spans="2:11" x14ac:dyDescent="0.25">
      <c r="G2" s="84" t="s">
        <v>88</v>
      </c>
      <c r="I2" s="84" t="s">
        <v>89</v>
      </c>
    </row>
    <row r="3" spans="2:11" x14ac:dyDescent="0.25">
      <c r="B3" t="s">
        <v>82</v>
      </c>
      <c r="G3" s="86">
        <f>'JDT-6 from 2022 GRC'!O24</f>
        <v>0</v>
      </c>
      <c r="I3" s="86">
        <f>G3</f>
        <v>0</v>
      </c>
    </row>
    <row r="4" spans="2:11" x14ac:dyDescent="0.25">
      <c r="B4" t="s">
        <v>87</v>
      </c>
      <c r="G4" s="82">
        <f>G38</f>
        <v>2739250.5410405048</v>
      </c>
      <c r="H4" s="82"/>
      <c r="I4" s="82">
        <f>G4+I44</f>
        <v>2739250.5410405048</v>
      </c>
      <c r="K4" s="81"/>
    </row>
    <row r="5" spans="2:11" x14ac:dyDescent="0.25">
      <c r="B5" t="s">
        <v>90</v>
      </c>
      <c r="G5" s="82"/>
      <c r="H5" s="82"/>
      <c r="I5" s="82">
        <f>I14</f>
        <v>92203.931916759582</v>
      </c>
    </row>
    <row r="6" spans="2:11" ht="15.75" thickBot="1" x14ac:dyDescent="0.3">
      <c r="B6" t="s">
        <v>91</v>
      </c>
      <c r="G6" s="98">
        <f>G3-G4</f>
        <v>-2739250.5410405048</v>
      </c>
      <c r="H6" s="82"/>
      <c r="I6" s="98">
        <f>I3-I4-I5</f>
        <v>-2831454.4729572646</v>
      </c>
      <c r="J6" s="81"/>
    </row>
    <row r="7" spans="2:11" ht="15.75" thickTop="1" x14ac:dyDescent="0.25">
      <c r="G7" s="82"/>
      <c r="H7" s="82"/>
      <c r="I7" s="82"/>
    </row>
    <row r="8" spans="2:11" x14ac:dyDescent="0.25">
      <c r="B8" t="s">
        <v>97</v>
      </c>
      <c r="G8" s="82"/>
      <c r="H8" s="82"/>
      <c r="I8" s="82">
        <f>G36</f>
        <v>3891799.6899999995</v>
      </c>
    </row>
    <row r="9" spans="2:11" x14ac:dyDescent="0.25">
      <c r="B9" t="s">
        <v>98</v>
      </c>
      <c r="I9" s="95">
        <f>'[1]TLNG Upgrade Rev Req'!$G$73</f>
        <v>0.92</v>
      </c>
    </row>
    <row r="10" spans="2:11" x14ac:dyDescent="0.25">
      <c r="B10" t="s">
        <v>99</v>
      </c>
      <c r="I10" s="83">
        <f>I8*I9</f>
        <v>3580455.7147999997</v>
      </c>
      <c r="J10" s="81"/>
    </row>
    <row r="11" spans="2:11" x14ac:dyDescent="0.25">
      <c r="B11" t="s">
        <v>101</v>
      </c>
      <c r="I11" s="82">
        <f>1-G37</f>
        <v>0.29614811674942465</v>
      </c>
    </row>
    <row r="12" spans="2:11" x14ac:dyDescent="0.25">
      <c r="B12" t="s">
        <v>100</v>
      </c>
      <c r="I12" s="82">
        <f>I10*I11</f>
        <v>1060345.2170427351</v>
      </c>
    </row>
    <row r="13" spans="2:11" x14ac:dyDescent="0.25">
      <c r="B13" t="s">
        <v>103</v>
      </c>
      <c r="I13" s="82">
        <f>G36-G4</f>
        <v>1152549.1489594947</v>
      </c>
    </row>
    <row r="14" spans="2:11" ht="15.75" thickBot="1" x14ac:dyDescent="0.3">
      <c r="B14" t="s">
        <v>102</v>
      </c>
      <c r="I14" s="99">
        <f>I13-I12</f>
        <v>92203.931916759582</v>
      </c>
    </row>
    <row r="15" spans="2:11" ht="15.75" thickTop="1" x14ac:dyDescent="0.25">
      <c r="B15" s="1"/>
    </row>
    <row r="16" spans="2:11" x14ac:dyDescent="0.25">
      <c r="B16" s="96"/>
      <c r="C16" s="97"/>
      <c r="D16" s="97"/>
      <c r="E16" s="97"/>
      <c r="F16" s="97"/>
      <c r="G16" s="97"/>
      <c r="H16" s="97"/>
      <c r="I16" s="97"/>
    </row>
    <row r="17" spans="2:9" x14ac:dyDescent="0.25">
      <c r="B17" t="s">
        <v>85</v>
      </c>
      <c r="D17" s="8" t="s">
        <v>83</v>
      </c>
      <c r="E17" s="8" t="s">
        <v>84</v>
      </c>
    </row>
    <row r="18" spans="2:9" x14ac:dyDescent="0.25">
      <c r="B18" t="s">
        <v>93</v>
      </c>
      <c r="D18">
        <v>2023</v>
      </c>
      <c r="E18">
        <v>1</v>
      </c>
      <c r="G18" s="87">
        <v>327925.64</v>
      </c>
      <c r="H18" s="78"/>
      <c r="I18" s="90"/>
    </row>
    <row r="19" spans="2:9" x14ac:dyDescent="0.25">
      <c r="B19" t="s">
        <v>95</v>
      </c>
      <c r="D19">
        <v>2023</v>
      </c>
      <c r="E19">
        <v>2</v>
      </c>
      <c r="G19" s="82">
        <v>345018.39</v>
      </c>
      <c r="H19" s="82"/>
      <c r="I19" s="91"/>
    </row>
    <row r="20" spans="2:9" x14ac:dyDescent="0.25">
      <c r="B20" t="s">
        <v>92</v>
      </c>
      <c r="D20">
        <v>2023</v>
      </c>
      <c r="E20">
        <v>3</v>
      </c>
      <c r="G20" s="82">
        <v>356744.89</v>
      </c>
      <c r="H20" s="82"/>
      <c r="I20" s="91"/>
    </row>
    <row r="21" spans="2:9" x14ac:dyDescent="0.25">
      <c r="B21" t="s">
        <v>94</v>
      </c>
      <c r="D21">
        <v>2023</v>
      </c>
      <c r="E21">
        <v>4</v>
      </c>
      <c r="G21" s="82">
        <v>258896.78</v>
      </c>
      <c r="H21" s="82"/>
      <c r="I21" s="91"/>
    </row>
    <row r="22" spans="2:9" x14ac:dyDescent="0.25">
      <c r="D22">
        <v>2023</v>
      </c>
      <c r="E22">
        <v>5</v>
      </c>
      <c r="G22" s="82">
        <v>117628.77</v>
      </c>
      <c r="H22" s="82"/>
      <c r="I22" s="91"/>
    </row>
    <row r="23" spans="2:9" x14ac:dyDescent="0.25">
      <c r="D23">
        <v>2023</v>
      </c>
      <c r="E23">
        <v>6</v>
      </c>
      <c r="G23" s="82">
        <v>96550.87</v>
      </c>
      <c r="H23" s="82"/>
      <c r="I23" s="91"/>
    </row>
    <row r="24" spans="2:9" x14ac:dyDescent="0.25">
      <c r="D24">
        <v>2023</v>
      </c>
      <c r="E24">
        <v>7</v>
      </c>
      <c r="G24" s="82">
        <v>70060.2</v>
      </c>
      <c r="H24" s="82"/>
      <c r="I24" s="91"/>
    </row>
    <row r="25" spans="2:9" x14ac:dyDescent="0.25">
      <c r="D25">
        <v>2023</v>
      </c>
      <c r="E25">
        <v>8</v>
      </c>
      <c r="G25" s="82">
        <v>71178.53</v>
      </c>
      <c r="H25" s="82"/>
      <c r="I25" s="91"/>
    </row>
    <row r="26" spans="2:9" x14ac:dyDescent="0.25">
      <c r="D26">
        <v>2023</v>
      </c>
      <c r="E26">
        <v>9</v>
      </c>
      <c r="G26" s="82">
        <v>95642.17</v>
      </c>
      <c r="H26" s="82"/>
      <c r="I26" s="91"/>
    </row>
    <row r="27" spans="2:9" x14ac:dyDescent="0.25">
      <c r="D27">
        <v>2023</v>
      </c>
      <c r="E27">
        <v>10</v>
      </c>
      <c r="G27" s="82">
        <v>185807.91</v>
      </c>
      <c r="H27" s="82"/>
      <c r="I27" s="91"/>
    </row>
    <row r="28" spans="2:9" x14ac:dyDescent="0.25">
      <c r="D28">
        <v>2023</v>
      </c>
      <c r="E28">
        <v>11</v>
      </c>
      <c r="G28" s="82">
        <v>324730.01</v>
      </c>
      <c r="H28" s="82"/>
      <c r="I28" s="91"/>
    </row>
    <row r="29" spans="2:9" x14ac:dyDescent="0.25">
      <c r="D29">
        <v>2023</v>
      </c>
      <c r="E29">
        <v>12</v>
      </c>
      <c r="G29" s="82">
        <v>343755.15</v>
      </c>
      <c r="H29" s="82"/>
      <c r="I29" s="91"/>
    </row>
    <row r="30" spans="2:9" x14ac:dyDescent="0.25">
      <c r="D30">
        <v>2023</v>
      </c>
      <c r="E30" t="s">
        <v>23</v>
      </c>
      <c r="G30" s="83">
        <f>SUM(G18:G29)</f>
        <v>2593939.3099999996</v>
      </c>
      <c r="H30" s="82"/>
      <c r="I30" s="91"/>
    </row>
    <row r="31" spans="2:9" x14ac:dyDescent="0.25">
      <c r="D31">
        <v>2024</v>
      </c>
      <c r="E31">
        <v>1</v>
      </c>
      <c r="G31" s="82">
        <v>416564.9</v>
      </c>
      <c r="H31" s="82"/>
      <c r="I31" s="91"/>
    </row>
    <row r="32" spans="2:9" x14ac:dyDescent="0.25">
      <c r="D32">
        <v>2024</v>
      </c>
      <c r="E32">
        <v>2</v>
      </c>
      <c r="G32" s="82">
        <v>319415.8</v>
      </c>
      <c r="H32" s="82"/>
      <c r="I32" s="91"/>
    </row>
    <row r="33" spans="2:12" x14ac:dyDescent="0.25">
      <c r="D33">
        <v>2024</v>
      </c>
      <c r="E33">
        <v>3</v>
      </c>
      <c r="G33" s="82">
        <v>302982.90000000002</v>
      </c>
      <c r="H33" s="82"/>
      <c r="I33" s="91"/>
    </row>
    <row r="34" spans="2:12" x14ac:dyDescent="0.25">
      <c r="D34">
        <v>2024</v>
      </c>
      <c r="E34">
        <v>4</v>
      </c>
      <c r="F34" t="s">
        <v>0</v>
      </c>
      <c r="G34" s="82">
        <f>G21</f>
        <v>258896.78</v>
      </c>
      <c r="H34" s="82"/>
      <c r="I34" s="91"/>
      <c r="K34" s="81"/>
      <c r="L34" s="81"/>
    </row>
    <row r="35" spans="2:12" x14ac:dyDescent="0.25">
      <c r="D35">
        <v>2024</v>
      </c>
      <c r="E35" t="s">
        <v>23</v>
      </c>
      <c r="G35" s="83">
        <f>SUM(G31:G34)</f>
        <v>1297860.3799999999</v>
      </c>
      <c r="H35" s="82"/>
      <c r="I35" s="91"/>
    </row>
    <row r="36" spans="2:12" x14ac:dyDescent="0.25">
      <c r="B36" s="24" t="s">
        <v>96</v>
      </c>
      <c r="G36" s="100">
        <f>G30+G35</f>
        <v>3891799.6899999995</v>
      </c>
      <c r="I36" s="92"/>
      <c r="K36" s="81"/>
    </row>
    <row r="37" spans="2:12" x14ac:dyDescent="0.25">
      <c r="B37" t="s">
        <v>86</v>
      </c>
      <c r="G37" s="80">
        <f>'[2]Rate Spread (Sch. 141D)'!$F$22</f>
        <v>0.70385188325057535</v>
      </c>
      <c r="I37" s="93"/>
    </row>
    <row r="38" spans="2:12" ht="15.75" thickBot="1" x14ac:dyDescent="0.3">
      <c r="B38" t="s">
        <v>87</v>
      </c>
      <c r="G38" s="99">
        <f>G36*G37</f>
        <v>2739250.5410405048</v>
      </c>
      <c r="I38" s="89"/>
    </row>
    <row r="39" spans="2:12" ht="15.75" thickTop="1" x14ac:dyDescent="0.25">
      <c r="G39" s="88"/>
      <c r="I39" s="89"/>
      <c r="K39" s="81"/>
    </row>
    <row r="40" spans="2:12" x14ac:dyDescent="0.25">
      <c r="G40" s="88"/>
      <c r="I40" s="89"/>
    </row>
    <row r="41" spans="2:12" x14ac:dyDescent="0.25">
      <c r="I41" s="94"/>
    </row>
    <row r="42" spans="2:12" x14ac:dyDescent="0.25">
      <c r="I42" s="89"/>
    </row>
    <row r="43" spans="2:12" x14ac:dyDescent="0.25">
      <c r="I43" s="89"/>
    </row>
    <row r="44" spans="2:12" x14ac:dyDescent="0.25">
      <c r="I44" s="89"/>
    </row>
    <row r="45" spans="2:12" x14ac:dyDescent="0.25">
      <c r="I45" s="94"/>
    </row>
    <row r="46" spans="2:12" x14ac:dyDescent="0.25">
      <c r="I46" s="8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41"/>
  <sheetViews>
    <sheetView zoomScale="90" zoomScaleNormal="90" workbookViewId="0">
      <pane xSplit="3" ySplit="10" topLeftCell="E11" activePane="bottomRight" state="frozenSplit"/>
      <selection activeCell="C32" sqref="C32"/>
      <selection pane="topRight" activeCell="C32" sqref="C32"/>
      <selection pane="bottomLeft" activeCell="C32" sqref="C32"/>
      <selection pane="bottomRight" activeCell="O23" sqref="O23"/>
    </sheetView>
  </sheetViews>
  <sheetFormatPr defaultRowHeight="15" x14ac:dyDescent="0.25"/>
  <cols>
    <col min="1" max="1" width="2.85546875" customWidth="1"/>
    <col min="2" max="2" width="37.5703125" customWidth="1"/>
    <col min="3" max="3" width="9.140625" bestFit="1" customWidth="1"/>
    <col min="4" max="4" width="16.140625" bestFit="1" customWidth="1"/>
    <col min="5" max="5" width="2.28515625" style="14" customWidth="1"/>
    <col min="6" max="6" width="16" bestFit="1" customWidth="1"/>
    <col min="7" max="7" width="10" bestFit="1" customWidth="1"/>
    <col min="8" max="8" width="2.28515625" style="14" customWidth="1"/>
    <col min="9" max="9" width="16" bestFit="1" customWidth="1"/>
    <col min="10" max="10" width="9.7109375" bestFit="1" customWidth="1"/>
    <col min="11" max="11" width="2.28515625" style="14" customWidth="1"/>
    <col min="12" max="12" width="16" bestFit="1" customWidth="1"/>
    <col min="13" max="13" width="9.5703125" bestFit="1" customWidth="1"/>
    <col min="14" max="14" width="2.28515625" style="14" customWidth="1"/>
    <col min="15" max="15" width="16.140625" style="14" customWidth="1"/>
    <col min="16" max="16" width="9.7109375" style="14" customWidth="1"/>
    <col min="17" max="17" width="2.28515625" style="14" customWidth="1"/>
    <col min="18" max="18" width="16" bestFit="1" customWidth="1"/>
    <col min="19" max="19" width="9.5703125" bestFit="1" customWidth="1"/>
    <col min="20" max="20" width="2.28515625" style="14" customWidth="1"/>
    <col min="21" max="21" width="16" bestFit="1" customWidth="1"/>
    <col min="22" max="22" width="9.5703125" bestFit="1" customWidth="1"/>
    <col min="23" max="23" width="2.28515625" style="14" customWidth="1"/>
    <col min="24" max="24" width="16" style="14" bestFit="1" customWidth="1"/>
    <col min="25" max="25" width="9.5703125" style="14" bestFit="1" customWidth="1"/>
    <col min="26" max="26" width="2.28515625" style="14" customWidth="1"/>
    <col min="27" max="27" width="16.140625" bestFit="1" customWidth="1"/>
    <col min="28" max="28" width="16" bestFit="1" customWidth="1"/>
    <col min="29" max="29" width="9.5703125" bestFit="1" customWidth="1"/>
    <col min="30" max="30" width="7.85546875" customWidth="1"/>
    <col min="31" max="31" width="9.28515625" customWidth="1"/>
  </cols>
  <sheetData>
    <row r="1" spans="2:32" x14ac:dyDescent="0.25">
      <c r="B1" s="2" t="s">
        <v>1</v>
      </c>
      <c r="C1" s="2"/>
      <c r="D1" s="2"/>
      <c r="E1" s="3"/>
      <c r="F1" s="2"/>
      <c r="G1" s="2"/>
      <c r="H1" s="3"/>
      <c r="I1" s="2"/>
      <c r="J1" s="2"/>
      <c r="K1" s="3"/>
      <c r="L1" s="2"/>
      <c r="M1" s="2"/>
      <c r="N1" s="3"/>
      <c r="O1" s="3"/>
      <c r="P1" s="3"/>
      <c r="Q1" s="3"/>
      <c r="R1" s="2"/>
      <c r="S1" s="2"/>
      <c r="T1" s="3"/>
      <c r="U1" s="2"/>
      <c r="V1" s="2"/>
      <c r="W1" s="3"/>
      <c r="X1" s="3"/>
      <c r="Y1" s="3"/>
      <c r="Z1" s="3"/>
      <c r="AA1" s="2"/>
      <c r="AB1" s="2"/>
      <c r="AC1" s="2"/>
      <c r="AD1" s="4"/>
    </row>
    <row r="2" spans="2:32" x14ac:dyDescent="0.25">
      <c r="B2" s="2" t="s">
        <v>2</v>
      </c>
      <c r="C2" s="2"/>
      <c r="D2" s="2"/>
      <c r="E2" s="3"/>
      <c r="F2" s="2"/>
      <c r="G2" s="2"/>
      <c r="H2" s="3"/>
      <c r="I2" s="2"/>
      <c r="J2" s="2"/>
      <c r="K2" s="3"/>
      <c r="L2" s="2"/>
      <c r="M2" s="2"/>
      <c r="N2" s="3"/>
      <c r="O2" s="3"/>
      <c r="P2" s="3"/>
      <c r="Q2" s="3"/>
      <c r="R2" s="2"/>
      <c r="S2" s="2"/>
      <c r="T2" s="3"/>
      <c r="U2" s="2"/>
      <c r="V2" s="2"/>
      <c r="W2" s="3"/>
      <c r="X2" s="3"/>
      <c r="Y2" s="3"/>
      <c r="Z2" s="3"/>
      <c r="AA2" s="2"/>
      <c r="AB2" s="2"/>
      <c r="AC2" s="2"/>
      <c r="AD2" s="4"/>
    </row>
    <row r="3" spans="2:32" x14ac:dyDescent="0.25">
      <c r="B3" s="5" t="s">
        <v>3</v>
      </c>
      <c r="C3" s="5"/>
      <c r="D3" s="5"/>
      <c r="E3" s="6"/>
      <c r="F3" s="5"/>
      <c r="G3" s="5"/>
      <c r="H3" s="6"/>
      <c r="I3" s="5"/>
      <c r="J3" s="5"/>
      <c r="K3" s="6"/>
      <c r="L3" s="5"/>
      <c r="M3" s="5"/>
      <c r="N3" s="6"/>
      <c r="O3" s="6"/>
      <c r="P3" s="6"/>
      <c r="Q3" s="6"/>
      <c r="R3" s="5"/>
      <c r="S3" s="5"/>
      <c r="T3" s="6"/>
      <c r="U3" s="5"/>
      <c r="V3" s="5"/>
      <c r="W3" s="6"/>
      <c r="X3" s="6"/>
      <c r="Y3" s="6"/>
      <c r="Z3" s="6"/>
      <c r="AA3" s="5"/>
      <c r="AB3" s="5"/>
      <c r="AC3" s="5"/>
      <c r="AD3" s="7"/>
    </row>
    <row r="4" spans="2:32" x14ac:dyDescent="0.25">
      <c r="B4" s="5" t="s">
        <v>4</v>
      </c>
      <c r="C4" s="5"/>
      <c r="D4" s="5"/>
      <c r="E4" s="6"/>
      <c r="F4" s="5"/>
      <c r="G4" s="5"/>
      <c r="H4" s="6"/>
      <c r="I4" s="5"/>
      <c r="J4" s="5"/>
      <c r="K4" s="6"/>
      <c r="L4" s="5"/>
      <c r="M4" s="5"/>
      <c r="N4" s="6"/>
      <c r="O4" s="6"/>
      <c r="P4" s="6"/>
      <c r="Q4" s="6"/>
      <c r="R4" s="5"/>
      <c r="S4" s="5"/>
      <c r="T4" s="6"/>
      <c r="U4" s="5"/>
      <c r="V4" s="5"/>
      <c r="W4" s="6"/>
      <c r="X4" s="6"/>
      <c r="Y4" s="6"/>
      <c r="Z4" s="6"/>
      <c r="AA4" s="5"/>
      <c r="AB4" s="5"/>
      <c r="AC4" s="5"/>
      <c r="AD4" s="7"/>
    </row>
    <row r="5" spans="2:32" x14ac:dyDescent="0.25">
      <c r="B5" s="79" t="s">
        <v>81</v>
      </c>
      <c r="C5" s="5"/>
      <c r="D5" s="5"/>
      <c r="E5" s="6"/>
      <c r="F5" s="5"/>
      <c r="G5" s="5"/>
      <c r="H5" s="6"/>
      <c r="I5" s="5"/>
      <c r="J5" s="5"/>
      <c r="K5" s="6"/>
      <c r="L5" s="5"/>
      <c r="M5" s="5"/>
      <c r="N5" s="6"/>
      <c r="O5" s="6"/>
      <c r="P5" s="6"/>
      <c r="Q5" s="6"/>
      <c r="R5" s="5"/>
      <c r="S5" s="5"/>
      <c r="T5" s="6"/>
      <c r="U5" s="5"/>
      <c r="V5" s="5"/>
      <c r="W5" s="6"/>
      <c r="X5" s="6"/>
      <c r="Y5" s="6"/>
      <c r="Z5" s="6"/>
      <c r="AA5" s="5"/>
      <c r="AB5" s="5"/>
      <c r="AC5" s="5"/>
      <c r="AD5" s="7"/>
    </row>
    <row r="6" spans="2:32" x14ac:dyDescent="0.25">
      <c r="B6" s="8"/>
      <c r="C6" s="8"/>
      <c r="D6" s="8"/>
      <c r="E6" s="9"/>
      <c r="F6" s="10" t="s">
        <v>5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2"/>
      <c r="W6" s="9"/>
      <c r="X6" s="10" t="s">
        <v>6</v>
      </c>
      <c r="Y6" s="12"/>
      <c r="Z6" s="9"/>
      <c r="AA6" s="8"/>
      <c r="AB6" s="8"/>
      <c r="AC6" s="8"/>
      <c r="AD6" s="7"/>
    </row>
    <row r="7" spans="2:32" x14ac:dyDescent="0.25">
      <c r="D7" s="13" t="s">
        <v>7</v>
      </c>
      <c r="E7" s="13"/>
      <c r="H7" s="9"/>
      <c r="AA7" s="15" t="str">
        <f>D7</f>
        <v>12ME Dec. 2023</v>
      </c>
      <c r="AE7" s="8"/>
      <c r="AF7" s="8"/>
    </row>
    <row r="8" spans="2:32" x14ac:dyDescent="0.25">
      <c r="B8" s="9"/>
      <c r="C8" s="9"/>
      <c r="D8" s="15" t="s">
        <v>8</v>
      </c>
      <c r="E8" s="15"/>
      <c r="F8" s="16"/>
      <c r="G8" s="9"/>
      <c r="H8" s="9"/>
      <c r="I8" s="9" t="s">
        <v>9</v>
      </c>
      <c r="J8" s="9" t="str">
        <f>I8</f>
        <v>Sch. 141N</v>
      </c>
      <c r="K8" s="9"/>
      <c r="L8" s="9" t="s">
        <v>10</v>
      </c>
      <c r="M8" s="9" t="str">
        <f>L8</f>
        <v>Sch. 141R</v>
      </c>
      <c r="N8" s="9"/>
      <c r="O8" s="17" t="s">
        <v>11</v>
      </c>
      <c r="P8" s="17" t="str">
        <f>O8</f>
        <v>Sch. 141D</v>
      </c>
      <c r="Q8" s="9"/>
      <c r="R8" s="9" t="s">
        <v>12</v>
      </c>
      <c r="S8" s="9" t="str">
        <f>R8</f>
        <v>Sch. 149</v>
      </c>
      <c r="T8" s="9"/>
      <c r="W8" s="9"/>
      <c r="X8" s="9" t="s">
        <v>13</v>
      </c>
      <c r="Y8" s="9" t="str">
        <f>X8</f>
        <v>Sch. 141X</v>
      </c>
      <c r="Z8" s="9"/>
      <c r="AA8" s="9" t="s">
        <v>8</v>
      </c>
      <c r="AB8" s="9"/>
      <c r="AC8" s="9"/>
      <c r="AD8" s="9"/>
    </row>
    <row r="9" spans="2:32" x14ac:dyDescent="0.25">
      <c r="B9" s="9"/>
      <c r="C9" s="9" t="s">
        <v>14</v>
      </c>
      <c r="D9" s="9" t="s">
        <v>15</v>
      </c>
      <c r="E9" s="9"/>
      <c r="F9" s="9" t="s">
        <v>16</v>
      </c>
      <c r="G9" s="9" t="str">
        <f>F9</f>
        <v>Base Rate</v>
      </c>
      <c r="H9" s="9"/>
      <c r="I9" s="9" t="s">
        <v>17</v>
      </c>
      <c r="J9" s="9" t="str">
        <f>I9</f>
        <v>Rate Plan</v>
      </c>
      <c r="K9" s="9"/>
      <c r="L9" s="9" t="s">
        <v>17</v>
      </c>
      <c r="M9" s="9" t="str">
        <f>L9</f>
        <v>Rate Plan</v>
      </c>
      <c r="N9" s="9"/>
      <c r="O9" s="17" t="s">
        <v>18</v>
      </c>
      <c r="P9" s="17" t="str">
        <f>O9</f>
        <v>Pipeline</v>
      </c>
      <c r="Q9" s="9"/>
      <c r="R9" s="9" t="s">
        <v>19</v>
      </c>
      <c r="S9" s="9" t="s">
        <v>19</v>
      </c>
      <c r="T9" s="9"/>
      <c r="U9" s="9" t="s">
        <v>20</v>
      </c>
      <c r="V9" s="9" t="s">
        <v>20</v>
      </c>
      <c r="W9" s="9"/>
      <c r="X9" s="9" t="s">
        <v>21</v>
      </c>
      <c r="Y9" s="9" t="s">
        <v>21</v>
      </c>
      <c r="Z9" s="9"/>
      <c r="AA9" s="9" t="s">
        <v>22</v>
      </c>
      <c r="AB9" s="9" t="s">
        <v>23</v>
      </c>
      <c r="AC9" s="9" t="s">
        <v>23</v>
      </c>
      <c r="AD9" s="9"/>
    </row>
    <row r="10" spans="2:32" x14ac:dyDescent="0.25">
      <c r="B10" s="18" t="s">
        <v>24</v>
      </c>
      <c r="C10" s="18" t="s">
        <v>25</v>
      </c>
      <c r="D10" s="18" t="s">
        <v>26</v>
      </c>
      <c r="E10" s="9"/>
      <c r="F10" s="18" t="s">
        <v>27</v>
      </c>
      <c r="G10" s="18" t="s">
        <v>28</v>
      </c>
      <c r="H10" s="9"/>
      <c r="I10" s="18" t="s">
        <v>27</v>
      </c>
      <c r="J10" s="18" t="s">
        <v>29</v>
      </c>
      <c r="K10" s="9"/>
      <c r="L10" s="18" t="s">
        <v>27</v>
      </c>
      <c r="M10" s="18" t="s">
        <v>29</v>
      </c>
      <c r="N10" s="9"/>
      <c r="O10" s="19" t="s">
        <v>27</v>
      </c>
      <c r="P10" s="19" t="s">
        <v>29</v>
      </c>
      <c r="Q10" s="9"/>
      <c r="R10" s="18" t="s">
        <v>27</v>
      </c>
      <c r="S10" s="18" t="s">
        <v>29</v>
      </c>
      <c r="T10" s="9"/>
      <c r="U10" s="18" t="s">
        <v>27</v>
      </c>
      <c r="V10" s="18" t="s">
        <v>29</v>
      </c>
      <c r="W10" s="9"/>
      <c r="X10" s="18" t="s">
        <v>27</v>
      </c>
      <c r="Y10" s="18" t="s">
        <v>29</v>
      </c>
      <c r="Z10" s="9"/>
      <c r="AA10" s="18" t="s">
        <v>30</v>
      </c>
      <c r="AB10" s="18" t="s">
        <v>27</v>
      </c>
      <c r="AC10" s="18" t="s">
        <v>29</v>
      </c>
      <c r="AD10" s="18"/>
    </row>
    <row r="11" spans="2:32" x14ac:dyDescent="0.25">
      <c r="B11" s="9" t="s">
        <v>31</v>
      </c>
      <c r="C11" s="9" t="s">
        <v>32</v>
      </c>
      <c r="D11" s="9" t="s">
        <v>33</v>
      </c>
      <c r="E11" s="9"/>
      <c r="F11" s="20" t="s">
        <v>34</v>
      </c>
      <c r="G11" s="21" t="s">
        <v>35</v>
      </c>
      <c r="H11" s="9"/>
      <c r="I11" s="20" t="s">
        <v>36</v>
      </c>
      <c r="J11" s="21" t="s">
        <v>37</v>
      </c>
      <c r="K11" s="21"/>
      <c r="L11" s="20" t="s">
        <v>38</v>
      </c>
      <c r="M11" s="21" t="s">
        <v>39</v>
      </c>
      <c r="N11" s="21"/>
      <c r="O11" s="22" t="s">
        <v>40</v>
      </c>
      <c r="P11" s="23" t="s">
        <v>41</v>
      </c>
      <c r="Q11" s="21"/>
      <c r="R11" s="20" t="s">
        <v>42</v>
      </c>
      <c r="S11" s="21" t="s">
        <v>43</v>
      </c>
      <c r="T11" s="21"/>
      <c r="U11" s="20" t="s">
        <v>44</v>
      </c>
      <c r="V11" s="21" t="s">
        <v>45</v>
      </c>
      <c r="W11" s="21"/>
      <c r="X11" s="20" t="s">
        <v>46</v>
      </c>
      <c r="Y11" s="21" t="s">
        <v>47</v>
      </c>
      <c r="Z11" s="21"/>
      <c r="AA11" s="9" t="s">
        <v>48</v>
      </c>
      <c r="AB11" s="20" t="s">
        <v>49</v>
      </c>
      <c r="AC11" s="21" t="s">
        <v>50</v>
      </c>
      <c r="AD11" s="9"/>
    </row>
    <row r="12" spans="2:32" x14ac:dyDescent="0.25">
      <c r="B12" t="s">
        <v>51</v>
      </c>
      <c r="C12" s="24" t="s">
        <v>52</v>
      </c>
      <c r="D12" s="25">
        <v>754207139.20534039</v>
      </c>
      <c r="E12" s="26"/>
      <c r="F12" s="27">
        <v>31174372.166929603</v>
      </c>
      <c r="G12" s="28">
        <f>F12/$D12</f>
        <v>4.1333965891354511E-2</v>
      </c>
      <c r="H12" s="29"/>
      <c r="I12" s="27">
        <v>-1081827.9136999999</v>
      </c>
      <c r="J12" s="28">
        <f>I12/$D12</f>
        <v>-1.4343909749248097E-3</v>
      </c>
      <c r="K12" s="30"/>
      <c r="L12" s="27">
        <v>30959369.41265</v>
      </c>
      <c r="M12" s="28">
        <f>L12/$D12</f>
        <v>4.1048894664759999E-2</v>
      </c>
      <c r="N12" s="31"/>
      <c r="O12" s="32">
        <v>2074564.11686</v>
      </c>
      <c r="P12" s="33">
        <f>O12/$D12</f>
        <v>2.7506556342675767E-3</v>
      </c>
      <c r="Q12" s="31"/>
      <c r="R12" s="27">
        <v>-14369220.17138</v>
      </c>
      <c r="S12" s="28">
        <f t="shared" ref="S12:S25" si="0">R12/$D12</f>
        <v>-1.9052087184589533E-2</v>
      </c>
      <c r="T12" s="30"/>
      <c r="U12" s="34">
        <f>SUM(F12,I12,L12,O12,R12)</f>
        <v>48757257.611359611</v>
      </c>
      <c r="V12" s="28">
        <f>U12/$D12</f>
        <v>6.4647038030867757E-2</v>
      </c>
      <c r="W12" s="30"/>
      <c r="X12" s="27">
        <v>-1998199.79354</v>
      </c>
      <c r="Y12" s="28">
        <f t="shared" ref="Y12:Y25" si="1">X12/$D12</f>
        <v>-2.6494045066258252E-3</v>
      </c>
      <c r="Z12" s="30"/>
      <c r="AA12" s="35">
        <f>SUM(D12,U12,X12)</f>
        <v>800966197.02315998</v>
      </c>
      <c r="AB12" s="34">
        <f>AA12-D12</f>
        <v>46759057.817819595</v>
      </c>
      <c r="AC12" s="28">
        <f>AB12/$D12</f>
        <v>6.199763352424191E-2</v>
      </c>
      <c r="AD12" s="28"/>
    </row>
    <row r="13" spans="2:32" x14ac:dyDescent="0.25">
      <c r="B13" t="s">
        <v>53</v>
      </c>
      <c r="C13" s="24">
        <v>16</v>
      </c>
      <c r="D13" s="25">
        <v>10346.180891708256</v>
      </c>
      <c r="E13" s="26"/>
      <c r="F13" s="27">
        <v>215.27438829174207</v>
      </c>
      <c r="G13" s="28">
        <f t="shared" ref="G13:G23" si="2">F13/$D13</f>
        <v>2.0807135555137017E-2</v>
      </c>
      <c r="H13" s="29"/>
      <c r="I13" s="27">
        <v>-15.014399999999998</v>
      </c>
      <c r="J13" s="28">
        <f t="shared" ref="J13:J23" si="3">I13/$D13</f>
        <v>-1.4512021544136151E-3</v>
      </c>
      <c r="K13" s="30"/>
      <c r="L13" s="27">
        <v>429.67680000000001</v>
      </c>
      <c r="M13" s="28">
        <f t="shared" ref="M13:M25" si="4">L13/$D13</f>
        <v>4.1529991066013169E-2</v>
      </c>
      <c r="N13" s="31"/>
      <c r="O13" s="32">
        <v>28.79232</v>
      </c>
      <c r="P13" s="33">
        <f t="shared" ref="P13:P23" si="5">O13/$D13</f>
        <v>2.7828935431696384E-3</v>
      </c>
      <c r="Q13" s="31"/>
      <c r="R13" s="27">
        <v>-199.42655999999999</v>
      </c>
      <c r="S13" s="28">
        <f t="shared" si="0"/>
        <v>-1.9275379203917312E-2</v>
      </c>
      <c r="T13" s="30"/>
      <c r="U13" s="34">
        <f t="shared" ref="U13:U24" si="6">SUM(F13,I13,L13,O13,R13)</f>
        <v>459.30254829174214</v>
      </c>
      <c r="V13" s="28">
        <f t="shared" ref="V13:V16" si="7">U13/$D13</f>
        <v>4.4393438805988901E-2</v>
      </c>
      <c r="W13" s="30"/>
      <c r="X13" s="27">
        <v>-27.732479999999999</v>
      </c>
      <c r="Y13" s="28">
        <f t="shared" si="1"/>
        <v>-2.6804557440345596E-3</v>
      </c>
      <c r="Z13" s="30"/>
      <c r="AA13" s="35">
        <f t="shared" ref="AA13:AA24" si="8">SUM(D13,U13,X13)</f>
        <v>10777.750959999998</v>
      </c>
      <c r="AB13" s="34">
        <f t="shared" ref="AB13:AB24" si="9">AA13-D13</f>
        <v>431.57006829174134</v>
      </c>
      <c r="AC13" s="28">
        <f t="shared" ref="AC13:AC25" si="10">AB13/$D13</f>
        <v>4.1712983061954263E-2</v>
      </c>
      <c r="AD13" s="28"/>
    </row>
    <row r="14" spans="2:32" x14ac:dyDescent="0.25">
      <c r="B14" t="s">
        <v>54</v>
      </c>
      <c r="C14" s="24">
        <v>31</v>
      </c>
      <c r="D14" s="25">
        <v>263664735.84557974</v>
      </c>
      <c r="E14" s="26"/>
      <c r="F14" s="27">
        <v>11472613.184340313</v>
      </c>
      <c r="G14" s="28">
        <f t="shared" si="2"/>
        <v>4.3512125910760653E-2</v>
      </c>
      <c r="H14" s="29"/>
      <c r="I14" s="27">
        <v>-381811.82935999997</v>
      </c>
      <c r="J14" s="28">
        <f t="shared" si="3"/>
        <v>-1.4480959243014407E-3</v>
      </c>
      <c r="K14" s="30"/>
      <c r="L14" s="27">
        <v>10921763.85768</v>
      </c>
      <c r="M14" s="28">
        <f t="shared" si="4"/>
        <v>4.1422922267756498E-2</v>
      </c>
      <c r="N14" s="31"/>
      <c r="O14" s="32">
        <v>732008.66648000001</v>
      </c>
      <c r="P14" s="33">
        <f t="shared" si="5"/>
        <v>2.7762858166543547E-3</v>
      </c>
      <c r="Q14" s="31"/>
      <c r="R14" s="27">
        <v>-6011712.3705599997</v>
      </c>
      <c r="S14" s="28">
        <f t="shared" si="0"/>
        <v>-2.2800593152058353E-2</v>
      </c>
      <c r="T14" s="30"/>
      <c r="U14" s="34">
        <f t="shared" si="6"/>
        <v>16732861.508580314</v>
      </c>
      <c r="V14" s="28">
        <f t="shared" si="7"/>
        <v>6.346264491881172E-2</v>
      </c>
      <c r="W14" s="30"/>
      <c r="X14" s="27">
        <v>-860900.55792000005</v>
      </c>
      <c r="Y14" s="28">
        <f t="shared" si="1"/>
        <v>-3.2651334853675798E-3</v>
      </c>
      <c r="Z14" s="30"/>
      <c r="AA14" s="35">
        <f t="shared" si="8"/>
        <v>279536696.79624009</v>
      </c>
      <c r="AB14" s="34">
        <f t="shared" si="9"/>
        <v>15871960.950660348</v>
      </c>
      <c r="AC14" s="28">
        <f t="shared" si="10"/>
        <v>6.0197511433444262E-2</v>
      </c>
      <c r="AD14" s="28"/>
    </row>
    <row r="15" spans="2:32" x14ac:dyDescent="0.25">
      <c r="B15" t="s">
        <v>55</v>
      </c>
      <c r="C15" s="24">
        <v>41</v>
      </c>
      <c r="D15" s="25">
        <v>48031953.478729695</v>
      </c>
      <c r="E15" s="26"/>
      <c r="F15" s="27">
        <v>1706285.3580703046</v>
      </c>
      <c r="G15" s="28">
        <f t="shared" si="2"/>
        <v>3.552396341377017E-2</v>
      </c>
      <c r="H15" s="29"/>
      <c r="I15" s="27">
        <v>-50192.16375</v>
      </c>
      <c r="J15" s="28">
        <f t="shared" si="3"/>
        <v>-1.0449744412795313E-3</v>
      </c>
      <c r="K15" s="30"/>
      <c r="L15" s="27">
        <v>1436834.3409499999</v>
      </c>
      <c r="M15" s="28">
        <f t="shared" si="4"/>
        <v>2.991413500569538E-2</v>
      </c>
      <c r="N15" s="31"/>
      <c r="O15" s="32">
        <v>151914.94894999999</v>
      </c>
      <c r="P15" s="33">
        <f t="shared" si="5"/>
        <v>3.1627893089393811E-3</v>
      </c>
      <c r="Q15" s="31"/>
      <c r="R15" s="27">
        <v>-752882.45624999993</v>
      </c>
      <c r="S15" s="28">
        <f t="shared" si="0"/>
        <v>-1.5674616619192967E-2</v>
      </c>
      <c r="T15" s="30"/>
      <c r="U15" s="34">
        <f t="shared" si="6"/>
        <v>2491960.0279703047</v>
      </c>
      <c r="V15" s="28">
        <f t="shared" si="7"/>
        <v>5.1881296667932439E-2</v>
      </c>
      <c r="W15" s="30"/>
      <c r="X15" s="27">
        <v>-89007.437050000008</v>
      </c>
      <c r="Y15" s="28">
        <f t="shared" si="1"/>
        <v>-1.8530880092023688E-3</v>
      </c>
      <c r="Z15" s="30"/>
      <c r="AA15" s="35">
        <f t="shared" si="8"/>
        <v>50434906.069650002</v>
      </c>
      <c r="AB15" s="34">
        <f t="shared" si="9"/>
        <v>2402952.5909203067</v>
      </c>
      <c r="AC15" s="28">
        <f t="shared" si="10"/>
        <v>5.002820865873011E-2</v>
      </c>
      <c r="AD15" s="28"/>
    </row>
    <row r="16" spans="2:32" x14ac:dyDescent="0.25">
      <c r="B16" t="s">
        <v>56</v>
      </c>
      <c r="C16" s="24">
        <v>85</v>
      </c>
      <c r="D16" s="25">
        <v>6262366.3661821345</v>
      </c>
      <c r="E16" s="26"/>
      <c r="F16" s="27">
        <v>228268.08826498454</v>
      </c>
      <c r="G16" s="28">
        <f t="shared" si="2"/>
        <v>3.6450771947433777E-2</v>
      </c>
      <c r="H16" s="29"/>
      <c r="I16" s="27">
        <v>-5006.0879999999997</v>
      </c>
      <c r="J16" s="28">
        <f t="shared" si="3"/>
        <v>-7.9939238736234663E-4</v>
      </c>
      <c r="K16" s="30"/>
      <c r="L16" s="27">
        <v>142061.65280000001</v>
      </c>
      <c r="M16" s="28">
        <f t="shared" si="4"/>
        <v>2.2684979525815926E-2</v>
      </c>
      <c r="N16" s="31"/>
      <c r="O16" s="32">
        <v>20469.337599999999</v>
      </c>
      <c r="P16" s="33">
        <f t="shared" si="5"/>
        <v>3.2686266505482617E-3</v>
      </c>
      <c r="Q16" s="31"/>
      <c r="R16" s="27">
        <v>-74646.334399999992</v>
      </c>
      <c r="S16" s="28">
        <f t="shared" si="0"/>
        <v>-1.1919828709336323E-2</v>
      </c>
      <c r="T16" s="30"/>
      <c r="U16" s="34">
        <f t="shared" si="6"/>
        <v>311146.65626498457</v>
      </c>
      <c r="V16" s="28">
        <f t="shared" si="7"/>
        <v>4.9685157027099296E-2</v>
      </c>
      <c r="W16" s="30"/>
      <c r="X16" s="27">
        <v>-9010.9583999999995</v>
      </c>
      <c r="Y16" s="28">
        <f t="shared" si="1"/>
        <v>-1.4389062972522239E-3</v>
      </c>
      <c r="Z16" s="30"/>
      <c r="AA16" s="35">
        <f t="shared" si="8"/>
        <v>6564502.0640471196</v>
      </c>
      <c r="AB16" s="34">
        <f t="shared" si="9"/>
        <v>302135.69786498509</v>
      </c>
      <c r="AC16" s="28">
        <f t="shared" si="10"/>
        <v>4.8246250729847159E-2</v>
      </c>
      <c r="AD16" s="28"/>
    </row>
    <row r="17" spans="2:30" x14ac:dyDescent="0.25">
      <c r="B17" t="s">
        <v>57</v>
      </c>
      <c r="C17" s="24">
        <v>86</v>
      </c>
      <c r="D17" s="25">
        <v>3697688.1502850014</v>
      </c>
      <c r="E17" s="26"/>
      <c r="F17" s="27">
        <v>50570.074469880899</v>
      </c>
      <c r="G17" s="28">
        <f t="shared" si="2"/>
        <v>1.367613287399133E-2</v>
      </c>
      <c r="H17" s="29"/>
      <c r="I17" s="27">
        <v>-2048.9364</v>
      </c>
      <c r="J17" s="28">
        <f t="shared" si="3"/>
        <v>-5.5411281771884332E-4</v>
      </c>
      <c r="K17" s="30"/>
      <c r="L17" s="27">
        <v>59248.410900000003</v>
      </c>
      <c r="M17" s="28">
        <f t="shared" si="4"/>
        <v>1.6023095645703221E-2</v>
      </c>
      <c r="N17" s="31"/>
      <c r="O17" s="32">
        <v>2788.8301000000001</v>
      </c>
      <c r="P17" s="33">
        <f t="shared" si="5"/>
        <v>7.542091130062035E-4</v>
      </c>
      <c r="Q17" s="31"/>
      <c r="R17" s="27">
        <v>-48150.005400000002</v>
      </c>
      <c r="S17" s="28">
        <f t="shared" si="0"/>
        <v>-1.3021651216392819E-2</v>
      </c>
      <c r="T17" s="30"/>
      <c r="U17" s="34">
        <f t="shared" si="6"/>
        <v>62408.373669880915</v>
      </c>
      <c r="V17" s="28">
        <f>U17/$D17</f>
        <v>1.6877673598589094E-2</v>
      </c>
      <c r="W17" s="30"/>
      <c r="X17" s="27">
        <v>-6943.6178</v>
      </c>
      <c r="Y17" s="28">
        <f t="shared" si="1"/>
        <v>-1.8778267711583026E-3</v>
      </c>
      <c r="Z17" s="30"/>
      <c r="AA17" s="35">
        <f t="shared" si="8"/>
        <v>3753152.9061548822</v>
      </c>
      <c r="AB17" s="34">
        <f t="shared" si="9"/>
        <v>55464.755869880784</v>
      </c>
      <c r="AC17" s="28">
        <f>AB17/$D17</f>
        <v>1.4999846827430758E-2</v>
      </c>
      <c r="AD17" s="28"/>
    </row>
    <row r="18" spans="2:30" x14ac:dyDescent="0.25">
      <c r="B18" t="s">
        <v>58</v>
      </c>
      <c r="C18" s="24">
        <v>87</v>
      </c>
      <c r="D18" s="25">
        <v>11062369.983882254</v>
      </c>
      <c r="E18" s="26"/>
      <c r="F18" s="27">
        <v>193717.55461970414</v>
      </c>
      <c r="G18" s="28">
        <f t="shared" si="2"/>
        <v>1.7511397187216518E-2</v>
      </c>
      <c r="H18" s="29"/>
      <c r="I18" s="27">
        <v>-4525.2510166006559</v>
      </c>
      <c r="J18" s="28">
        <f t="shared" si="3"/>
        <v>-4.0906704650033352E-4</v>
      </c>
      <c r="K18" s="30"/>
      <c r="L18" s="27">
        <v>131313.84533541062</v>
      </c>
      <c r="M18" s="28">
        <f t="shared" si="4"/>
        <v>1.1870317619708378E-2</v>
      </c>
      <c r="N18" s="31"/>
      <c r="O18" s="32">
        <v>17428.370257522623</v>
      </c>
      <c r="P18" s="33">
        <f t="shared" si="5"/>
        <v>1.5754644152126134E-3</v>
      </c>
      <c r="Q18" s="31"/>
      <c r="R18" s="27">
        <v>-81604.764551208456</v>
      </c>
      <c r="S18" s="28">
        <f t="shared" si="0"/>
        <v>-7.3767885787679914E-3</v>
      </c>
      <c r="T18" s="30"/>
      <c r="U18" s="34">
        <f t="shared" si="6"/>
        <v>256329.75464482821</v>
      </c>
      <c r="V18" s="28">
        <f t="shared" ref="V18:V19" si="11">U18/$D18</f>
        <v>2.317132359686918E-2</v>
      </c>
      <c r="W18" s="30"/>
      <c r="X18" s="27">
        <v>-9382.3659778127385</v>
      </c>
      <c r="Y18" s="28">
        <f t="shared" si="1"/>
        <v>-8.4813344622198844E-4</v>
      </c>
      <c r="Z18" s="30"/>
      <c r="AA18" s="35">
        <f t="shared" si="8"/>
        <v>11309317.372549269</v>
      </c>
      <c r="AB18" s="34">
        <f t="shared" si="9"/>
        <v>246947.38866701536</v>
      </c>
      <c r="AC18" s="28">
        <f t="shared" si="10"/>
        <v>2.2323190150647182E-2</v>
      </c>
      <c r="AD18" s="28"/>
    </row>
    <row r="19" spans="2:30" x14ac:dyDescent="0.25">
      <c r="B19" t="s">
        <v>59</v>
      </c>
      <c r="C19" s="24" t="s">
        <v>60</v>
      </c>
      <c r="D19" s="25">
        <v>25227.026823518318</v>
      </c>
      <c r="E19" s="26"/>
      <c r="F19" s="27">
        <v>703.26913648168556</v>
      </c>
      <c r="G19" s="28">
        <f t="shared" si="2"/>
        <v>2.7877606877797077E-2</v>
      </c>
      <c r="H19" s="29"/>
      <c r="I19" s="27">
        <v>-54.00329</v>
      </c>
      <c r="J19" s="28">
        <f t="shared" si="3"/>
        <v>-2.1406918214260007E-3</v>
      </c>
      <c r="K19" s="30"/>
      <c r="L19" s="27">
        <v>1544.76927</v>
      </c>
      <c r="M19" s="28">
        <f t="shared" si="4"/>
        <v>6.1234694076587062E-2</v>
      </c>
      <c r="N19" s="31"/>
      <c r="O19" s="32"/>
      <c r="P19" s="33">
        <f t="shared" si="5"/>
        <v>0</v>
      </c>
      <c r="Q19" s="31"/>
      <c r="R19" s="27">
        <v>-850.29383999999993</v>
      </c>
      <c r="S19" s="28">
        <f t="shared" si="0"/>
        <v>-3.3705669952643777E-2</v>
      </c>
      <c r="T19" s="30"/>
      <c r="U19" s="34">
        <f t="shared" si="6"/>
        <v>1343.7412764816859</v>
      </c>
      <c r="V19" s="28">
        <f t="shared" si="11"/>
        <v>5.3265939180314366E-2</v>
      </c>
      <c r="W19" s="30"/>
      <c r="X19" s="27">
        <v>-121.76538000000001</v>
      </c>
      <c r="Y19" s="28">
        <f t="shared" si="1"/>
        <v>-4.8267828330242311E-3</v>
      </c>
      <c r="Z19" s="30"/>
      <c r="AA19" s="35">
        <f>SUM(D19,U19,X19)</f>
        <v>26449.002720000004</v>
      </c>
      <c r="AB19" s="34">
        <f>AA19-D19</f>
        <v>1221.9758964816865</v>
      </c>
      <c r="AC19" s="28">
        <f t="shared" si="10"/>
        <v>4.8439156347290166E-2</v>
      </c>
      <c r="AD19" s="28"/>
    </row>
    <row r="20" spans="2:30" x14ac:dyDescent="0.25">
      <c r="B20" t="s">
        <v>61</v>
      </c>
      <c r="C20" t="s">
        <v>62</v>
      </c>
      <c r="D20" s="25">
        <v>4847808.8298120676</v>
      </c>
      <c r="E20" s="26"/>
      <c r="F20" s="27">
        <v>370914.63848793134</v>
      </c>
      <c r="G20" s="28">
        <f t="shared" si="2"/>
        <v>7.6511812142210728E-2</v>
      </c>
      <c r="H20" s="29"/>
      <c r="I20" s="27">
        <v>-19098.390749999999</v>
      </c>
      <c r="J20" s="28">
        <f t="shared" si="3"/>
        <v>-3.9395923850281808E-3</v>
      </c>
      <c r="K20" s="30"/>
      <c r="L20" s="27">
        <v>546723.26587</v>
      </c>
      <c r="M20" s="28">
        <f t="shared" si="4"/>
        <v>0.11277739800874007</v>
      </c>
      <c r="N20" s="31"/>
      <c r="O20" s="32"/>
      <c r="P20" s="33">
        <f t="shared" si="5"/>
        <v>0</v>
      </c>
      <c r="Q20" s="31"/>
      <c r="R20" s="27">
        <v>-286475.86125000002</v>
      </c>
      <c r="S20" s="28">
        <f t="shared" si="0"/>
        <v>-5.9093885775422725E-2</v>
      </c>
      <c r="T20" s="30"/>
      <c r="U20" s="34">
        <f t="shared" si="6"/>
        <v>612063.65235793125</v>
      </c>
      <c r="V20" s="28">
        <f>U20/$D20</f>
        <v>0.12625573199049989</v>
      </c>
      <c r="W20" s="30"/>
      <c r="X20" s="27">
        <v>-33867.81293</v>
      </c>
      <c r="Y20" s="28">
        <f t="shared" si="1"/>
        <v>-6.9862104961166413E-3</v>
      </c>
      <c r="Z20" s="30"/>
      <c r="AA20" s="35">
        <f t="shared" si="8"/>
        <v>5426004.6692399988</v>
      </c>
      <c r="AB20" s="34">
        <f t="shared" si="9"/>
        <v>578195.83942793123</v>
      </c>
      <c r="AC20" s="28">
        <f>AB20/$D20</f>
        <v>0.11926952149438323</v>
      </c>
      <c r="AD20" s="28"/>
    </row>
    <row r="21" spans="2:30" x14ac:dyDescent="0.25">
      <c r="B21" t="s">
        <v>63</v>
      </c>
      <c r="C21" t="s">
        <v>64</v>
      </c>
      <c r="D21" s="25">
        <v>6975820.2195017952</v>
      </c>
      <c r="E21" s="26"/>
      <c r="F21" s="27">
        <v>666897.40410293639</v>
      </c>
      <c r="G21" s="28">
        <f t="shared" si="2"/>
        <v>9.5601288897689707E-2</v>
      </c>
      <c r="H21" s="29"/>
      <c r="I21" s="27">
        <v>-28254.383099999999</v>
      </c>
      <c r="J21" s="28">
        <f t="shared" si="3"/>
        <v>-4.0503313174573034E-3</v>
      </c>
      <c r="K21" s="30"/>
      <c r="L21" s="27">
        <v>801796.60485999996</v>
      </c>
      <c r="M21" s="28">
        <f t="shared" si="4"/>
        <v>0.11493940205317724</v>
      </c>
      <c r="N21" s="31"/>
      <c r="O21" s="32"/>
      <c r="P21" s="33">
        <f t="shared" si="5"/>
        <v>0</v>
      </c>
      <c r="Q21" s="31"/>
      <c r="R21" s="27">
        <v>-421304.24578</v>
      </c>
      <c r="S21" s="28">
        <f t="shared" si="0"/>
        <v>-6.0394940311418899E-2</v>
      </c>
      <c r="T21" s="30"/>
      <c r="U21" s="34">
        <f t="shared" si="6"/>
        <v>1019135.3800829365</v>
      </c>
      <c r="V21" s="28">
        <f t="shared" ref="V21:V25" si="12">U21/$D21</f>
        <v>0.14609541932199077</v>
      </c>
      <c r="W21" s="30"/>
      <c r="X21" s="27">
        <v>-50857.889579999995</v>
      </c>
      <c r="Y21" s="28">
        <f t="shared" si="1"/>
        <v>-7.2905963714231447E-3</v>
      </c>
      <c r="Z21" s="30"/>
      <c r="AA21" s="35">
        <f t="shared" si="8"/>
        <v>7944097.710004732</v>
      </c>
      <c r="AB21" s="34">
        <f t="shared" si="9"/>
        <v>968277.49050293677</v>
      </c>
      <c r="AC21" s="28">
        <f t="shared" si="10"/>
        <v>0.13880482295056767</v>
      </c>
      <c r="AD21" s="28"/>
    </row>
    <row r="22" spans="2:30" x14ac:dyDescent="0.25">
      <c r="B22" t="s">
        <v>65</v>
      </c>
      <c r="C22" t="s">
        <v>66</v>
      </c>
      <c r="D22" s="25">
        <v>140883.25711508218</v>
      </c>
      <c r="E22" s="26"/>
      <c r="F22" s="27">
        <v>8817.8948840305384</v>
      </c>
      <c r="G22" s="28">
        <f t="shared" si="2"/>
        <v>6.259008390775303E-2</v>
      </c>
      <c r="H22" s="29"/>
      <c r="I22" s="27">
        <v>-195.26724000000002</v>
      </c>
      <c r="J22" s="28">
        <f t="shared" si="3"/>
        <v>-1.3860216181720844E-3</v>
      </c>
      <c r="K22" s="30"/>
      <c r="L22" s="27">
        <v>5646.4776900000006</v>
      </c>
      <c r="M22" s="28">
        <f t="shared" si="4"/>
        <v>4.0079125125476109E-2</v>
      </c>
      <c r="N22" s="31"/>
      <c r="O22" s="32"/>
      <c r="P22" s="33">
        <f t="shared" si="5"/>
        <v>0</v>
      </c>
      <c r="Q22" s="31"/>
      <c r="R22" s="27">
        <v>-4588.7801399999998</v>
      </c>
      <c r="S22" s="28">
        <f t="shared" si="0"/>
        <v>-3.2571508027043977E-2</v>
      </c>
      <c r="T22" s="30"/>
      <c r="U22" s="34">
        <f t="shared" si="6"/>
        <v>9680.3251940305418</v>
      </c>
      <c r="V22" s="28">
        <f t="shared" si="12"/>
        <v>6.8711679388013105E-2</v>
      </c>
      <c r="W22" s="30"/>
      <c r="X22" s="27">
        <v>-661.73897999999997</v>
      </c>
      <c r="Y22" s="28">
        <f t="shared" si="1"/>
        <v>-4.6970732615831739E-3</v>
      </c>
      <c r="Z22" s="30"/>
      <c r="AA22" s="35">
        <f t="shared" si="8"/>
        <v>149901.84332911271</v>
      </c>
      <c r="AB22" s="34">
        <f t="shared" si="9"/>
        <v>9018.5862140305398</v>
      </c>
      <c r="AC22" s="28">
        <f t="shared" si="10"/>
        <v>6.401460612642991E-2</v>
      </c>
      <c r="AD22" s="28"/>
    </row>
    <row r="23" spans="2:30" x14ac:dyDescent="0.25">
      <c r="B23" t="s">
        <v>67</v>
      </c>
      <c r="C23" t="s">
        <v>68</v>
      </c>
      <c r="D23" s="25">
        <v>6088383.7285085246</v>
      </c>
      <c r="E23" s="26"/>
      <c r="F23" s="27">
        <v>564949.66697120015</v>
      </c>
      <c r="G23" s="28">
        <f t="shared" si="2"/>
        <v>9.2791402802989267E-2</v>
      </c>
      <c r="H23" s="29"/>
      <c r="I23" s="27">
        <v>-16820.436862264389</v>
      </c>
      <c r="J23" s="28">
        <f t="shared" si="3"/>
        <v>-2.7627097128427717E-3</v>
      </c>
      <c r="K23" s="30"/>
      <c r="L23" s="27">
        <v>485921.47076992894</v>
      </c>
      <c r="M23" s="28">
        <f t="shared" si="4"/>
        <v>7.9811242595408061E-2</v>
      </c>
      <c r="N23" s="31"/>
      <c r="O23" s="32"/>
      <c r="P23" s="33">
        <f t="shared" si="5"/>
        <v>0</v>
      </c>
      <c r="Q23" s="31"/>
      <c r="R23" s="27">
        <v>-482285.76329409354</v>
      </c>
      <c r="S23" s="28">
        <f t="shared" si="0"/>
        <v>-7.9214087810499975E-2</v>
      </c>
      <c r="T23" s="30"/>
      <c r="U23" s="34">
        <f t="shared" si="6"/>
        <v>551764.93758477108</v>
      </c>
      <c r="V23" s="28">
        <f t="shared" si="12"/>
        <v>9.0625847875054566E-2</v>
      </c>
      <c r="W23" s="30"/>
      <c r="X23" s="27">
        <v>-55449.96743755621</v>
      </c>
      <c r="Y23" s="28">
        <f t="shared" si="1"/>
        <v>-9.1075020744692484E-3</v>
      </c>
      <c r="Z23" s="30"/>
      <c r="AA23" s="35">
        <f t="shared" si="8"/>
        <v>6584698.6986557394</v>
      </c>
      <c r="AB23" s="34">
        <f t="shared" si="9"/>
        <v>496314.97014721483</v>
      </c>
      <c r="AC23" s="28">
        <f t="shared" si="10"/>
        <v>8.1518345800585312E-2</v>
      </c>
      <c r="AD23" s="28"/>
    </row>
    <row r="24" spans="2:30" x14ac:dyDescent="0.25">
      <c r="B24" t="s">
        <v>69</v>
      </c>
      <c r="D24" s="25">
        <v>1694863.0973755296</v>
      </c>
      <c r="E24" s="26"/>
      <c r="F24" s="27">
        <v>20093.055977700045</v>
      </c>
      <c r="G24" s="28">
        <f>F24/$D24</f>
        <v>1.1855267843646985E-2</v>
      </c>
      <c r="H24" s="29"/>
      <c r="I24" s="27"/>
      <c r="J24" s="28">
        <f>I24/$D24</f>
        <v>0</v>
      </c>
      <c r="K24" s="30"/>
      <c r="L24" s="27"/>
      <c r="M24" s="28">
        <f>L24/$D24</f>
        <v>0</v>
      </c>
      <c r="N24" s="31"/>
      <c r="O24" s="36"/>
      <c r="P24" s="33">
        <f>O24/$D24</f>
        <v>0</v>
      </c>
      <c r="Q24" s="31"/>
      <c r="R24" s="27">
        <v>-28892.086800000001</v>
      </c>
      <c r="S24" s="28">
        <f t="shared" si="0"/>
        <v>-1.704685578719542E-2</v>
      </c>
      <c r="T24" s="30"/>
      <c r="U24" s="34">
        <f t="shared" si="6"/>
        <v>-8799.0308222999556</v>
      </c>
      <c r="V24" s="28">
        <f t="shared" si="12"/>
        <v>-5.1915879435484348E-3</v>
      </c>
      <c r="W24" s="30"/>
      <c r="X24" s="27">
        <v>-6524.0196000000005</v>
      </c>
      <c r="Y24" s="28">
        <f t="shared" si="1"/>
        <v>-3.8492900164634821E-3</v>
      </c>
      <c r="Z24" s="30"/>
      <c r="AA24" s="35">
        <f t="shared" si="8"/>
        <v>1679540.0469532297</v>
      </c>
      <c r="AB24" s="34">
        <f t="shared" si="9"/>
        <v>-15323.050422299886</v>
      </c>
      <c r="AC24" s="28">
        <f t="shared" si="10"/>
        <v>-9.0408779600118748E-3</v>
      </c>
      <c r="AD24" s="30"/>
    </row>
    <row r="25" spans="2:30" x14ac:dyDescent="0.25">
      <c r="B25" t="s">
        <v>23</v>
      </c>
      <c r="D25" s="37">
        <f>SUM(D12:D24)</f>
        <v>1106709585.3700273</v>
      </c>
      <c r="E25" s="38"/>
      <c r="F25" s="39">
        <f>SUM(F12:F24)</f>
        <v>46458417.630643368</v>
      </c>
      <c r="G25" s="40">
        <f t="shared" ref="G25" si="13">F25/$D25</f>
        <v>4.1978869836127822E-2</v>
      </c>
      <c r="H25" s="29"/>
      <c r="I25" s="39">
        <f>SUM(I12:I24)</f>
        <v>-1589849.677868865</v>
      </c>
      <c r="J25" s="40">
        <f t="shared" ref="J25" si="14">I25/$D25</f>
        <v>-1.4365554422638349E-3</v>
      </c>
      <c r="K25" s="30"/>
      <c r="L25" s="39">
        <f>SUM(L12:L24)</f>
        <v>45492653.78557533</v>
      </c>
      <c r="M25" s="40">
        <f t="shared" si="4"/>
        <v>4.1106225505731842E-2</v>
      </c>
      <c r="N25" s="38"/>
      <c r="O25" s="41">
        <f>SUM(O12:O24)</f>
        <v>2999203.0625675227</v>
      </c>
      <c r="P25" s="42">
        <f t="shared" ref="P25" si="15">O25/$D25</f>
        <v>2.7100181494901774E-3</v>
      </c>
      <c r="Q25" s="38"/>
      <c r="R25" s="39">
        <f>SUM(R12:R24)</f>
        <v>-22562812.560205296</v>
      </c>
      <c r="S25" s="40">
        <f t="shared" si="0"/>
        <v>-2.0387292979541186E-2</v>
      </c>
      <c r="T25" s="30"/>
      <c r="U25" s="39">
        <f>SUM(U12:U24)</f>
        <v>70797612.240712062</v>
      </c>
      <c r="V25" s="40">
        <f t="shared" si="12"/>
        <v>6.3971265069544828E-2</v>
      </c>
      <c r="W25" s="30"/>
      <c r="X25" s="39">
        <f>SUM(X12:X24)</f>
        <v>-3120955.6570753693</v>
      </c>
      <c r="Y25" s="40">
        <f t="shared" si="1"/>
        <v>-2.8200312876407235E-3</v>
      </c>
      <c r="Z25" s="30"/>
      <c r="AA25" s="39">
        <f>SUM(AA12:AA24)</f>
        <v>1174386241.9536645</v>
      </c>
      <c r="AB25" s="39">
        <f>SUM(AB12:AB24)</f>
        <v>67676656.583636746</v>
      </c>
      <c r="AC25" s="40">
        <f t="shared" si="10"/>
        <v>6.1151233781904145E-2</v>
      </c>
      <c r="AD25" s="30"/>
    </row>
    <row r="26" spans="2:30" s="50" customFormat="1" x14ac:dyDescent="0.25">
      <c r="B26" s="43"/>
      <c r="C26" s="44"/>
      <c r="D26" s="44"/>
      <c r="E26" s="44"/>
      <c r="F26" s="45"/>
      <c r="G26" s="46"/>
      <c r="H26" s="47"/>
      <c r="I26" s="45"/>
      <c r="J26" s="46"/>
      <c r="K26" s="46"/>
      <c r="L26" s="45"/>
      <c r="M26" s="46"/>
      <c r="N26" s="47"/>
      <c r="O26" s="48"/>
      <c r="P26" s="48"/>
      <c r="Q26" s="47"/>
      <c r="R26" s="45"/>
      <c r="S26" s="46"/>
      <c r="T26" s="46"/>
      <c r="U26" s="45"/>
      <c r="V26" s="46"/>
      <c r="W26" s="46"/>
      <c r="X26" s="45"/>
      <c r="Y26" s="46"/>
      <c r="Z26" s="46"/>
      <c r="AA26" s="47"/>
      <c r="AB26" s="45"/>
      <c r="AC26" s="46"/>
      <c r="AD26" s="49"/>
    </row>
    <row r="27" spans="2:30" x14ac:dyDescent="0.25">
      <c r="F27" s="51"/>
      <c r="G27" s="35"/>
      <c r="I27" s="51"/>
      <c r="J27" s="35"/>
      <c r="K27" s="52"/>
      <c r="L27" s="51"/>
      <c r="M27" s="35"/>
      <c r="N27" s="38"/>
      <c r="O27" s="36"/>
      <c r="P27" s="36"/>
      <c r="Q27" s="38"/>
      <c r="R27" s="51"/>
      <c r="S27" s="35"/>
      <c r="T27" s="52"/>
      <c r="U27" s="51"/>
      <c r="V27" s="35"/>
      <c r="W27" s="52"/>
      <c r="X27" s="51"/>
      <c r="Y27" s="35"/>
      <c r="Z27" s="52"/>
      <c r="AA27" s="14"/>
      <c r="AB27" s="51"/>
      <c r="AC27" s="35"/>
      <c r="AD27" s="53"/>
    </row>
    <row r="28" spans="2:30" s="50" customFormat="1" x14ac:dyDescent="0.25">
      <c r="B28" s="54" t="s">
        <v>70</v>
      </c>
      <c r="C28" s="55"/>
      <c r="D28" s="55"/>
      <c r="E28" s="56"/>
      <c r="F28" s="57"/>
      <c r="G28" s="58"/>
      <c r="H28" s="59"/>
      <c r="I28" s="57"/>
      <c r="J28" s="58"/>
      <c r="K28" s="58"/>
      <c r="L28" s="57"/>
      <c r="M28" s="58"/>
      <c r="N28" s="59"/>
      <c r="O28" s="60"/>
      <c r="P28" s="60"/>
      <c r="Q28" s="59"/>
      <c r="R28" s="57"/>
      <c r="S28" s="58"/>
      <c r="T28" s="58"/>
      <c r="U28" s="57"/>
      <c r="V28" s="58"/>
      <c r="W28" s="58"/>
      <c r="X28" s="57"/>
      <c r="Y28" s="58"/>
      <c r="Z28" s="58"/>
      <c r="AA28" s="59"/>
      <c r="AB28" s="57"/>
      <c r="AC28" s="58"/>
      <c r="AD28" s="49"/>
    </row>
    <row r="29" spans="2:30" s="50" customFormat="1" x14ac:dyDescent="0.25">
      <c r="B29" s="61" t="s">
        <v>71</v>
      </c>
      <c r="C29" s="61"/>
      <c r="D29" s="62">
        <f>D12+D13</f>
        <v>754217485.38623214</v>
      </c>
      <c r="E29" s="45"/>
      <c r="F29" s="62">
        <f>F12+F13</f>
        <v>31174587.441317894</v>
      </c>
      <c r="G29" s="28">
        <f t="shared" ref="G29:G36" si="16">F29/$D29</f>
        <v>4.1333684309047138E-2</v>
      </c>
      <c r="H29" s="63"/>
      <c r="I29" s="62">
        <f>I12+I13</f>
        <v>-1081842.9280999999</v>
      </c>
      <c r="J29" s="28">
        <f t="shared" ref="J29:J36" si="17">I29/$D29</f>
        <v>-1.4343912055366787E-3</v>
      </c>
      <c r="K29" s="30"/>
      <c r="L29" s="62">
        <f>L12+L13</f>
        <v>30959799.089450002</v>
      </c>
      <c r="M29" s="28">
        <f t="shared" ref="M29:M36" si="18">L29/$D29</f>
        <v>4.1048901264329078E-2</v>
      </c>
      <c r="N29" s="45"/>
      <c r="O29" s="64">
        <f>O12+O13</f>
        <v>2074592.90918</v>
      </c>
      <c r="P29" s="33">
        <f t="shared" ref="P29:P36" si="19">O29/$D29</f>
        <v>2.750656076499749E-3</v>
      </c>
      <c r="Q29" s="45"/>
      <c r="R29" s="62">
        <f>R12+R13</f>
        <v>-14369419.59794</v>
      </c>
      <c r="S29" s="28">
        <f t="shared" ref="S29:S36" si="20">R29/$D29</f>
        <v>-1.905209024765777E-2</v>
      </c>
      <c r="T29" s="30"/>
      <c r="U29" s="62">
        <f>U12+U13</f>
        <v>48757716.9139079</v>
      </c>
      <c r="V29" s="28">
        <f t="shared" ref="V29:V36" si="21">U29/$D29</f>
        <v>6.464676019668153E-2</v>
      </c>
      <c r="W29" s="30"/>
      <c r="X29" s="62">
        <f>X12+X13</f>
        <v>-1998227.52602</v>
      </c>
      <c r="Y29" s="28">
        <f t="shared" ref="Y29:Y36" si="22">X29/$D29</f>
        <v>-2.6494049325795129E-3</v>
      </c>
      <c r="Z29" s="30"/>
      <c r="AA29" s="62">
        <f>AA12+AA13</f>
        <v>800976974.77411997</v>
      </c>
      <c r="AB29" s="62">
        <f>AB12+AB13</f>
        <v>46759489.387887888</v>
      </c>
      <c r="AC29" s="28">
        <f t="shared" ref="AC29:AC36" si="23">AB29/$D29</f>
        <v>6.1997355264101994E-2</v>
      </c>
      <c r="AD29" s="30"/>
    </row>
    <row r="30" spans="2:30" s="50" customFormat="1" x14ac:dyDescent="0.25">
      <c r="B30" s="65" t="s">
        <v>72</v>
      </c>
      <c r="C30" s="65"/>
      <c r="D30" s="62">
        <f>D14+D19</f>
        <v>263689962.87240326</v>
      </c>
      <c r="E30" s="45"/>
      <c r="F30" s="62">
        <f>F14+F19</f>
        <v>11473316.453476794</v>
      </c>
      <c r="G30" s="28">
        <f t="shared" si="16"/>
        <v>4.3510630167704213E-2</v>
      </c>
      <c r="H30" s="63"/>
      <c r="I30" s="62">
        <f>I14+I19</f>
        <v>-381865.83265</v>
      </c>
      <c r="J30" s="28">
        <f t="shared" si="17"/>
        <v>-1.4481621844468185E-3</v>
      </c>
      <c r="K30" s="30"/>
      <c r="L30" s="62">
        <f>L14+L19</f>
        <v>10923308.626949999</v>
      </c>
      <c r="M30" s="28">
        <f t="shared" si="18"/>
        <v>4.142481764554562E-2</v>
      </c>
      <c r="N30" s="45"/>
      <c r="O30" s="64">
        <f>O14+O19</f>
        <v>732008.66648000001</v>
      </c>
      <c r="P30" s="33">
        <f t="shared" si="19"/>
        <v>2.7760202114109709E-3</v>
      </c>
      <c r="Q30" s="45"/>
      <c r="R30" s="62">
        <f>R14+R19</f>
        <v>-6012562.6644000001</v>
      </c>
      <c r="S30" s="28">
        <f t="shared" si="20"/>
        <v>-2.2801636432818698E-2</v>
      </c>
      <c r="T30" s="30"/>
      <c r="U30" s="62">
        <f>U14+U19</f>
        <v>16734205.249856796</v>
      </c>
      <c r="V30" s="28">
        <f t="shared" si="21"/>
        <v>6.3461669407395296E-2</v>
      </c>
      <c r="W30" s="30"/>
      <c r="X30" s="62">
        <f>X14+X19</f>
        <v>-861022.32330000005</v>
      </c>
      <c r="Y30" s="28">
        <f t="shared" si="22"/>
        <v>-3.2652828872240369E-3</v>
      </c>
      <c r="Z30" s="30"/>
      <c r="AA30" s="62">
        <f t="shared" ref="AA30:AB34" si="24">AA14+AA19</f>
        <v>279563145.79896009</v>
      </c>
      <c r="AB30" s="62">
        <f t="shared" si="24"/>
        <v>15873182.926556829</v>
      </c>
      <c r="AC30" s="28">
        <f t="shared" si="23"/>
        <v>6.019638652017139E-2</v>
      </c>
      <c r="AD30" s="30"/>
    </row>
    <row r="31" spans="2:30" s="50" customFormat="1" x14ac:dyDescent="0.25">
      <c r="B31" s="61" t="s">
        <v>73</v>
      </c>
      <c r="C31" s="61"/>
      <c r="D31" s="62">
        <f>D15+D20</f>
        <v>52879762.30854176</v>
      </c>
      <c r="E31" s="45"/>
      <c r="F31" s="62">
        <f>F15+F20</f>
        <v>2077199.996558236</v>
      </c>
      <c r="G31" s="28">
        <f t="shared" si="16"/>
        <v>3.9281568333046427E-2</v>
      </c>
      <c r="H31" s="63"/>
      <c r="I31" s="62">
        <f>I15+I20</f>
        <v>-69290.554499999998</v>
      </c>
      <c r="J31" s="28">
        <f t="shared" si="17"/>
        <v>-1.3103416406394734E-3</v>
      </c>
      <c r="K31" s="30"/>
      <c r="L31" s="62">
        <f>L15+L20</f>
        <v>1983557.6068199999</v>
      </c>
      <c r="M31" s="28">
        <f t="shared" si="18"/>
        <v>3.7510713366039325E-2</v>
      </c>
      <c r="N31" s="45"/>
      <c r="O31" s="64">
        <f>O15+O20</f>
        <v>151914.94894999999</v>
      </c>
      <c r="P31" s="33">
        <f t="shared" si="19"/>
        <v>2.8728372125352937E-3</v>
      </c>
      <c r="Q31" s="45"/>
      <c r="R31" s="62">
        <f>R15+R20</f>
        <v>-1039358.3174999999</v>
      </c>
      <c r="S31" s="28">
        <f t="shared" si="20"/>
        <v>-1.9655124609592099E-2</v>
      </c>
      <c r="T31" s="30"/>
      <c r="U31" s="62">
        <f>U15+U20</f>
        <v>3104023.680328236</v>
      </c>
      <c r="V31" s="28">
        <f t="shared" si="21"/>
        <v>5.8699652661389469E-2</v>
      </c>
      <c r="W31" s="30"/>
      <c r="X31" s="62">
        <f>X15+X20</f>
        <v>-122875.24998000001</v>
      </c>
      <c r="Y31" s="28">
        <f t="shared" si="22"/>
        <v>-2.3236725094006663E-3</v>
      </c>
      <c r="Z31" s="30"/>
      <c r="AA31" s="62">
        <f t="shared" si="24"/>
        <v>55860910.73889</v>
      </c>
      <c r="AB31" s="62">
        <f t="shared" si="24"/>
        <v>2981148.430348238</v>
      </c>
      <c r="AC31" s="28">
        <f t="shared" si="23"/>
        <v>5.6375980151988844E-2</v>
      </c>
      <c r="AD31" s="30"/>
    </row>
    <row r="32" spans="2:30" s="50" customFormat="1" x14ac:dyDescent="0.25">
      <c r="B32" s="61" t="s">
        <v>74</v>
      </c>
      <c r="C32" s="61"/>
      <c r="D32" s="62">
        <f>D16+D21</f>
        <v>13238186.585683931</v>
      </c>
      <c r="E32" s="45"/>
      <c r="F32" s="62">
        <f>F16+F21</f>
        <v>895165.49236792093</v>
      </c>
      <c r="G32" s="28">
        <f t="shared" si="16"/>
        <v>6.7619948289290077E-2</v>
      </c>
      <c r="H32" s="63"/>
      <c r="I32" s="62">
        <f>I16+I21</f>
        <v>-33260.471099999995</v>
      </c>
      <c r="J32" s="28">
        <f t="shared" si="17"/>
        <v>-2.5124642929544904E-3</v>
      </c>
      <c r="K32" s="30"/>
      <c r="L32" s="62">
        <f>L16+L21</f>
        <v>943858.25766</v>
      </c>
      <c r="M32" s="28">
        <f t="shared" si="18"/>
        <v>7.1298153380064108E-2</v>
      </c>
      <c r="N32" s="45"/>
      <c r="O32" s="64">
        <f>O16+O21</f>
        <v>20469.337599999999</v>
      </c>
      <c r="P32" s="33">
        <f t="shared" si="19"/>
        <v>1.5462342570496774E-3</v>
      </c>
      <c r="Q32" s="45"/>
      <c r="R32" s="62">
        <f>R16+R21</f>
        <v>-495950.58017999999</v>
      </c>
      <c r="S32" s="28">
        <f t="shared" si="20"/>
        <v>-3.746363423494363E-2</v>
      </c>
      <c r="T32" s="30"/>
      <c r="U32" s="62">
        <f>U16+U21</f>
        <v>1330282.036347921</v>
      </c>
      <c r="V32" s="28">
        <f t="shared" si="21"/>
        <v>0.10048823739850574</v>
      </c>
      <c r="W32" s="30"/>
      <c r="X32" s="62">
        <f>X16+X21</f>
        <v>-59868.847979999991</v>
      </c>
      <c r="Y32" s="28">
        <f t="shared" si="22"/>
        <v>-4.5224357273180825E-3</v>
      </c>
      <c r="Z32" s="30"/>
      <c r="AA32" s="62">
        <f t="shared" si="24"/>
        <v>14508599.774051853</v>
      </c>
      <c r="AB32" s="62">
        <f t="shared" si="24"/>
        <v>1270413.1883679219</v>
      </c>
      <c r="AC32" s="28">
        <f t="shared" si="23"/>
        <v>9.596580167118772E-2</v>
      </c>
      <c r="AD32" s="30"/>
    </row>
    <row r="33" spans="2:30" s="50" customFormat="1" x14ac:dyDescent="0.25">
      <c r="B33" s="61" t="s">
        <v>75</v>
      </c>
      <c r="C33" s="61"/>
      <c r="D33" s="62">
        <f>D17+D22</f>
        <v>3838571.4074000837</v>
      </c>
      <c r="E33" s="45"/>
      <c r="F33" s="62">
        <f>F17+F22</f>
        <v>59387.969353911438</v>
      </c>
      <c r="G33" s="28">
        <f t="shared" si="16"/>
        <v>1.5471372823603589E-2</v>
      </c>
      <c r="H33" s="63"/>
      <c r="I33" s="62">
        <f>I17+I22</f>
        <v>-2244.2036400000002</v>
      </c>
      <c r="J33" s="28">
        <f t="shared" si="17"/>
        <v>-5.8464553653308994E-4</v>
      </c>
      <c r="K33" s="30"/>
      <c r="L33" s="62">
        <f>L17+L22</f>
        <v>64894.888590000002</v>
      </c>
      <c r="M33" s="28">
        <f t="shared" si="18"/>
        <v>1.6906000098081849E-2</v>
      </c>
      <c r="N33" s="45"/>
      <c r="O33" s="64">
        <f>O17+O22</f>
        <v>2788.8301000000001</v>
      </c>
      <c r="P33" s="33">
        <f t="shared" si="19"/>
        <v>7.2652812830930572E-4</v>
      </c>
      <c r="Q33" s="45"/>
      <c r="R33" s="62">
        <f>R17+R22</f>
        <v>-52738.785540000004</v>
      </c>
      <c r="S33" s="28">
        <f t="shared" si="20"/>
        <v>-1.3739170108527614E-2</v>
      </c>
      <c r="T33" s="30"/>
      <c r="U33" s="62">
        <f>U17+U22</f>
        <v>72088.698863911457</v>
      </c>
      <c r="V33" s="28">
        <f t="shared" si="21"/>
        <v>1.8780085404934047E-2</v>
      </c>
      <c r="W33" s="30"/>
      <c r="X33" s="62">
        <f>X17+X22</f>
        <v>-7605.3567800000001</v>
      </c>
      <c r="Y33" s="28">
        <f t="shared" si="22"/>
        <v>-1.9812987626954713E-3</v>
      </c>
      <c r="Z33" s="30"/>
      <c r="AA33" s="62">
        <f t="shared" si="24"/>
        <v>3903054.7494839947</v>
      </c>
      <c r="AB33" s="62">
        <f t="shared" si="24"/>
        <v>64483.342083911324</v>
      </c>
      <c r="AC33" s="28">
        <f t="shared" si="23"/>
        <v>1.679878664223854E-2</v>
      </c>
      <c r="AD33" s="30"/>
    </row>
    <row r="34" spans="2:30" s="50" customFormat="1" x14ac:dyDescent="0.25">
      <c r="B34" s="43" t="s">
        <v>76</v>
      </c>
      <c r="C34" s="43"/>
      <c r="D34" s="62">
        <f>D18+D23</f>
        <v>17150753.71239078</v>
      </c>
      <c r="E34" s="45"/>
      <c r="F34" s="62">
        <f>F18+F23</f>
        <v>758667.22159090429</v>
      </c>
      <c r="G34" s="28">
        <f t="shared" si="16"/>
        <v>4.4235211718001377E-2</v>
      </c>
      <c r="H34" s="63"/>
      <c r="I34" s="62">
        <f>I18+I23</f>
        <v>-21345.687878865043</v>
      </c>
      <c r="J34" s="28">
        <f t="shared" si="17"/>
        <v>-1.2445918259232874E-3</v>
      </c>
      <c r="K34" s="30"/>
      <c r="L34" s="62">
        <f>L18+L23</f>
        <v>617235.31610533956</v>
      </c>
      <c r="M34" s="28">
        <f t="shared" si="18"/>
        <v>3.5988815795273771E-2</v>
      </c>
      <c r="N34" s="45"/>
      <c r="O34" s="64">
        <f>O18+O23</f>
        <v>17428.370257522623</v>
      </c>
      <c r="P34" s="33">
        <f t="shared" si="19"/>
        <v>1.016186842268703E-3</v>
      </c>
      <c r="Q34" s="45"/>
      <c r="R34" s="62">
        <f>R18+R23</f>
        <v>-563890.52784530201</v>
      </c>
      <c r="S34" s="28">
        <f t="shared" si="20"/>
        <v>-3.2878469209076923E-2</v>
      </c>
      <c r="T34" s="30"/>
      <c r="U34" s="62">
        <f>U18+U23</f>
        <v>808094.69222959923</v>
      </c>
      <c r="V34" s="28">
        <f t="shared" si="21"/>
        <v>4.7117153320543628E-2</v>
      </c>
      <c r="W34" s="30"/>
      <c r="X34" s="62">
        <f>X18+X23</f>
        <v>-64832.33341536895</v>
      </c>
      <c r="Y34" s="28">
        <f t="shared" si="22"/>
        <v>-3.780144855589058E-3</v>
      </c>
      <c r="Z34" s="30"/>
      <c r="AA34" s="62">
        <f t="shared" si="24"/>
        <v>17894016.071205009</v>
      </c>
      <c r="AB34" s="62">
        <f t="shared" si="24"/>
        <v>743262.35881423019</v>
      </c>
      <c r="AC34" s="28">
        <f t="shared" si="23"/>
        <v>4.3337008464954564E-2</v>
      </c>
      <c r="AD34" s="30"/>
    </row>
    <row r="35" spans="2:30" s="50" customFormat="1" x14ac:dyDescent="0.25">
      <c r="B35" s="43" t="s">
        <v>69</v>
      </c>
      <c r="C35" s="43"/>
      <c r="D35" s="62">
        <f>D24</f>
        <v>1694863.0973755296</v>
      </c>
      <c r="E35" s="45"/>
      <c r="F35" s="62">
        <f>F24</f>
        <v>20093.055977700045</v>
      </c>
      <c r="G35" s="28">
        <f t="shared" si="16"/>
        <v>1.1855267843646985E-2</v>
      </c>
      <c r="H35" s="63"/>
      <c r="I35" s="62">
        <f>I24</f>
        <v>0</v>
      </c>
      <c r="J35" s="28">
        <f t="shared" si="17"/>
        <v>0</v>
      </c>
      <c r="K35" s="30"/>
      <c r="L35" s="62">
        <f>L24</f>
        <v>0</v>
      </c>
      <c r="M35" s="28">
        <f t="shared" si="18"/>
        <v>0</v>
      </c>
      <c r="N35" s="45"/>
      <c r="O35" s="64">
        <f>O24</f>
        <v>0</v>
      </c>
      <c r="P35" s="33">
        <f t="shared" si="19"/>
        <v>0</v>
      </c>
      <c r="Q35" s="45"/>
      <c r="R35" s="62">
        <f>R24</f>
        <v>-28892.086800000001</v>
      </c>
      <c r="S35" s="28">
        <f t="shared" si="20"/>
        <v>-1.704685578719542E-2</v>
      </c>
      <c r="T35" s="30"/>
      <c r="U35" s="62">
        <f>U24</f>
        <v>-8799.0308222999556</v>
      </c>
      <c r="V35" s="28">
        <f t="shared" si="21"/>
        <v>-5.1915879435484348E-3</v>
      </c>
      <c r="W35" s="30"/>
      <c r="X35" s="62">
        <f>X24</f>
        <v>-6524.0196000000005</v>
      </c>
      <c r="Y35" s="28">
        <f t="shared" si="22"/>
        <v>-3.8492900164634821E-3</v>
      </c>
      <c r="Z35" s="30"/>
      <c r="AA35" s="62">
        <f>AA24</f>
        <v>1679540.0469532297</v>
      </c>
      <c r="AB35" s="62">
        <f>AB24</f>
        <v>-15323.050422299886</v>
      </c>
      <c r="AC35" s="28">
        <f t="shared" si="23"/>
        <v>-9.0408779600118748E-3</v>
      </c>
      <c r="AD35" s="30"/>
    </row>
    <row r="36" spans="2:30" s="50" customFormat="1" x14ac:dyDescent="0.25">
      <c r="B36" s="43" t="s">
        <v>77</v>
      </c>
      <c r="C36" s="43"/>
      <c r="D36" s="66">
        <f>SUM(D29:D35)</f>
        <v>1106709585.3700278</v>
      </c>
      <c r="E36" s="67"/>
      <c r="F36" s="68">
        <f>SUM(F29:F35)</f>
        <v>46458417.630643368</v>
      </c>
      <c r="G36" s="40">
        <f t="shared" si="16"/>
        <v>4.1978869836127801E-2</v>
      </c>
      <c r="H36" s="63"/>
      <c r="I36" s="68">
        <f>SUM(I29:I35)</f>
        <v>-1589849.677868865</v>
      </c>
      <c r="J36" s="40">
        <f t="shared" si="17"/>
        <v>-1.4365554422638342E-3</v>
      </c>
      <c r="K36" s="30"/>
      <c r="L36" s="68">
        <f>SUM(L29:L35)</f>
        <v>45492653.785575338</v>
      </c>
      <c r="M36" s="40">
        <f t="shared" si="18"/>
        <v>4.1106225505731835E-2</v>
      </c>
      <c r="N36" s="45"/>
      <c r="O36" s="69">
        <f>SUM(O29:O35)</f>
        <v>2999203.0625675227</v>
      </c>
      <c r="P36" s="42">
        <f t="shared" si="19"/>
        <v>2.7100181494901761E-3</v>
      </c>
      <c r="Q36" s="45"/>
      <c r="R36" s="68">
        <f>SUM(R29:R35)</f>
        <v>-22562812.560205303</v>
      </c>
      <c r="S36" s="40">
        <f t="shared" si="20"/>
        <v>-2.0387292979541186E-2</v>
      </c>
      <c r="T36" s="30"/>
      <c r="U36" s="68">
        <f>SUM(U29:U35)</f>
        <v>70797612.240712062</v>
      </c>
      <c r="V36" s="40">
        <f t="shared" si="21"/>
        <v>6.39712650695448E-2</v>
      </c>
      <c r="W36" s="30"/>
      <c r="X36" s="68">
        <f>SUM(X29:X35)</f>
        <v>-3120955.6570753693</v>
      </c>
      <c r="Y36" s="40">
        <f t="shared" si="22"/>
        <v>-2.8200312876407222E-3</v>
      </c>
      <c r="Z36" s="30"/>
      <c r="AA36" s="68">
        <f>SUM(AA29:AA35)</f>
        <v>1174386241.9536641</v>
      </c>
      <c r="AB36" s="68">
        <f>SUM(AB29:AB35)</f>
        <v>67676656.583636731</v>
      </c>
      <c r="AC36" s="40">
        <f t="shared" si="23"/>
        <v>6.115123378190411E-2</v>
      </c>
      <c r="AD36" s="30"/>
    </row>
    <row r="37" spans="2:30" s="50" customFormat="1" x14ac:dyDescent="0.25">
      <c r="B37" s="43"/>
      <c r="C37" s="43"/>
      <c r="D37" s="43"/>
      <c r="E37" s="43"/>
      <c r="F37" s="62"/>
      <c r="G37" s="70"/>
      <c r="H37" s="63"/>
      <c r="I37" s="62"/>
      <c r="J37" s="70"/>
      <c r="K37" s="71"/>
      <c r="L37" s="62"/>
      <c r="M37" s="70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63"/>
      <c r="AB37" s="62"/>
      <c r="AC37" s="70"/>
      <c r="AD37" s="30"/>
    </row>
    <row r="38" spans="2:30" x14ac:dyDescent="0.25">
      <c r="B38" s="61" t="s">
        <v>78</v>
      </c>
      <c r="F38" s="72"/>
      <c r="G38" s="72"/>
      <c r="J38" s="73"/>
      <c r="K38" s="74"/>
      <c r="N38" s="75"/>
      <c r="O38" s="75"/>
      <c r="P38" s="75"/>
      <c r="Q38" s="75"/>
      <c r="R38" s="72"/>
      <c r="S38" s="72"/>
      <c r="T38" s="75"/>
      <c r="U38" s="72"/>
      <c r="V38" s="72"/>
      <c r="W38" s="75"/>
      <c r="X38" s="75"/>
      <c r="Y38" s="75"/>
      <c r="Z38" s="75"/>
      <c r="AB38" s="72"/>
    </row>
    <row r="39" spans="2:30" x14ac:dyDescent="0.25">
      <c r="B39" s="76" t="s">
        <v>79</v>
      </c>
      <c r="F39" s="72"/>
      <c r="G39" s="72"/>
      <c r="J39" s="73"/>
      <c r="K39" s="74"/>
      <c r="N39" s="75"/>
      <c r="O39" s="75"/>
      <c r="P39" s="75"/>
      <c r="Q39" s="75"/>
      <c r="R39" s="72"/>
      <c r="S39" s="72"/>
      <c r="T39" s="75"/>
      <c r="U39" s="72"/>
      <c r="V39" s="72"/>
      <c r="W39" s="75"/>
      <c r="X39" s="75"/>
      <c r="Y39" s="75"/>
      <c r="Z39" s="75"/>
      <c r="AB39" s="72"/>
    </row>
    <row r="40" spans="2:30" x14ac:dyDescent="0.25">
      <c r="B40" s="77" t="s">
        <v>80</v>
      </c>
    </row>
    <row r="41" spans="2:30" x14ac:dyDescent="0.25">
      <c r="I41" s="78"/>
    </row>
  </sheetData>
  <printOptions horizontalCentered="1"/>
  <pageMargins left="0.45" right="0.45" top="0.75" bottom="0.75" header="0.3" footer="0.3"/>
  <pageSetup scale="42" orientation="landscape" blackAndWhite="1" r:id="rId1"/>
  <headerFooter>
    <oddFooter>&amp;R&amp;A
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51A869FC564E24E898CF4C8794BB580" ma:contentTypeVersion="24" ma:contentTypeDescription="" ma:contentTypeScope="" ma:versionID="49cba3d21e268f439e5e06a001ee85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2023-05-25T07:00:00+00:00</OpenedDate>
    <SignificantOrder xmlns="dc463f71-b30c-4ab2-9473-d307f9d35888">false</SignificantOrder>
    <Date1 xmlns="dc463f71-b30c-4ab2-9473-d307f9d35888">2024-05-03T07:00:00+00:00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230393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A20DECD-350F-4E31-8400-FABB9F97106C}"/>
</file>

<file path=customXml/itemProps2.xml><?xml version="1.0" encoding="utf-8"?>
<ds:datastoreItem xmlns:ds="http://schemas.openxmlformats.org/officeDocument/2006/customXml" ds:itemID="{E39E65DE-9C88-4928-823E-BB1782541861}"/>
</file>

<file path=customXml/itemProps3.xml><?xml version="1.0" encoding="utf-8"?>
<ds:datastoreItem xmlns:ds="http://schemas.openxmlformats.org/officeDocument/2006/customXml" ds:itemID="{1CE8D980-4299-48CE-84BA-6730337A0241}"/>
</file>

<file path=customXml/itemProps4.xml><?xml version="1.0" encoding="utf-8"?>
<ds:datastoreItem xmlns:ds="http://schemas.openxmlformats.org/officeDocument/2006/customXml" ds:itemID="{3AE9A938-9798-4D66-96F8-96FD853B9D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Refund</vt:lpstr>
      <vt:lpstr>JDT-6 from 2022 GRC</vt:lpstr>
      <vt:lpstr>'JDT-6 from 2022 GRC'!Print_Area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Free, Susan</cp:lastModifiedBy>
  <dcterms:created xsi:type="dcterms:W3CDTF">2024-04-27T04:49:16Z</dcterms:created>
  <dcterms:modified xsi:type="dcterms:W3CDTF">2024-05-02T02:16:46Z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0x0101006E56B4D1795A2E4DB2F0B01679ED314A00951A869FC564E24E898CF4C8794BB580</vt:lpwstr>
  </property>
  <property fmtid="{D5CDD505-2E9C-101B-9397-08002B2CF9AE}" pid="3" name="_docset_NoMedatataSyncRequired">
    <vt:lpwstr>False</vt:lpwstr>
  </property>
</Properties>
</file>