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ates\Public\Gas Sch. 141LNG Tacoma LNG\FILED\Compliance (Filed 4-XX-24)\Compliance Work Papers\"/>
    </mc:Choice>
  </mc:AlternateContent>
  <bookViews>
    <workbookView xWindow="0" yWindow="0" windowWidth="4350" windowHeight="0" tabRatio="731"/>
  </bookViews>
  <sheets>
    <sheet name="Summary " sheetId="3" r:id="rId1"/>
    <sheet name="Plant Additions" sheetId="17" r:id="rId2"/>
    <sheet name="Deferrals ---&gt;" sheetId="15" r:id="rId3"/>
    <sheet name="Total Deferrals" sheetId="22" r:id="rId4"/>
    <sheet name="LNG O&amp;M Deferral" sheetId="13" r:id="rId5"/>
    <sheet name="LNG Depreciation Deferral" sheetId="8" r:id="rId6"/>
    <sheet name="LNG Return Deferral" sheetId="10" r:id="rId7"/>
    <sheet name="ROR" sheetId="4" r:id="rId8"/>
    <sheet name="O&amp;M" sheetId="16" r:id="rId9"/>
    <sheet name="Gas Conv Factor" sheetId="5" r:id="rId10"/>
    <sheet name="Sheet1" sheetId="2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ECURRENT" localSheetId="1" hidden="1">[3]ConsolidatingPL!#REF!</definedName>
    <definedName name="__123Graph_ECURRENT" hidden="1">[3]ConsolidatingPL!#REF!</definedName>
    <definedName name="__123Graph_F" hidden="1">[2]Input!$D$22:$D$37</definedName>
    <definedName name="__IntlFixup" hidden="1">TRUE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d1" hidden="1">{"annual",#N/A,FALSE,"Pro Forma";#N/A,#N/A,FALSE,"Golf Operations"}</definedName>
    <definedName name="_Dist_Values" hidden="1">#REF!</definedName>
    <definedName name="_Fill" hidden="1">#REF!</definedName>
    <definedName name="_xlnm._FilterDatabase" hidden="1">#REF!</definedName>
    <definedName name="_gr1" hidden="1">{"three",#N/A,FALSE,"Capital";"four",#N/A,FALSE,"Capital"}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[4]RENT!#REF!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Table2_Out" hidden="1">#REF!</definedName>
    <definedName name="_wr1" hidden="1">{"Output-3Column",#N/A,FALSE,"Output"}</definedName>
    <definedName name="_wrn1" hidden="1">{"Inflation-BaseYear",#N/A,FALSE,"Inputs"}</definedName>
    <definedName name="a" localSheetId="1" hidden="1">{#N/A,#N/A,FALSE,"Coversheet";#N/A,#N/A,FALSE,"QA"}</definedName>
    <definedName name="a" hidden="1">{"Print_Detail",#N/A,FALSE,"Redemption_Maturity Extract"}</definedName>
    <definedName name="Access_Button1" hidden="1">"Headcount_Workbook_Schedules_List"</definedName>
    <definedName name="AccessCode" hidden="1">""""</definedName>
    <definedName name="AccessDatabase" localSheetId="1" hidden="1">"I:\COMTREL\FINICLE\TradeSummary.mdb"</definedName>
    <definedName name="AccessDatabase" hidden="1">"C:\ncux\bud\rms_inv.mdb"</definedName>
    <definedName name="ACwvu.allocations." hidden="1">#REF!</definedName>
    <definedName name="ACwvu.annual._.hotel." hidden="1">[5]development!$C$5</definedName>
    <definedName name="ACwvu.bottom._.line." hidden="1">[5]development!#REF!</definedName>
    <definedName name="ACwvu.cash._.flow." hidden="1">#REF!</definedName>
    <definedName name="ACwvu.combo." hidden="1">[5]development!$B$89</definedName>
    <definedName name="ACwvu.full." hidden="1">#REF!</definedName>
    <definedName name="ACwvu.offsite." hidden="1">#REF!</definedName>
    <definedName name="ACwvu.onsite." hidden="1">#REF!</definedName>
    <definedName name="anscount" hidden="1">2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b" localSheetId="1" hidden="1">{#N/A,#N/A,FALSE,"Coversheet";#N/A,#N/A,FALSE,"QA"}</definedName>
    <definedName name="b" hidden="1">{"One",#N/A,FALSE,"CClub";"Two",#N/A,FALSE,"CClub";"Three",#N/A,FALSE,"CClub";"Four",#N/A,FALSE,"CClub";"Five",#N/A,FALSE,"CClub"}</definedName>
    <definedName name="bi" hidden="1">{#N/A,#N/A,FALSE,"BidCo Assumptions";#N/A,#N/A,FALSE,"Credit Stats";#N/A,#N/A,FALSE,"Bidco Summary";#N/A,#N/A,FALSE,"BIDCO Consolidated"}</definedName>
    <definedName name="BNE_MESSAGES_HIDDEN" hidden="1">#REF!</definedName>
    <definedName name="CBWorkbookPriority" hidden="1">-2060790043</definedName>
    <definedName name="cd" hidden="1">{"annual",#N/A,FALSE,"Pro Forma";#N/A,#N/A,FALSE,"Golf Operations"}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wvu.annual." hidden="1">#REF!,#REF!,#REF!,#REF!,#REF!,#REF!,#REF!,#REF!,#REF!,#REF!,#REF!,#REF!,#REF!,#REF!,#REF!,#REF!,#REF!,#REF!,#REF!,#REF!,#REF!,#REF!,#REF!,#REF!</definedName>
    <definedName name="Cwvu.annual._.hotel." hidden="1">[5]development!$A$16:$IV$16,[5]development!$A$21:$IV$21,[5]development!#REF!,[5]development!#REF!,[5]development!$A$36:$IV$36,[5]development!$A$46:$IV$46,[5]development!#REF!,[5]development!#REF!,[5]development!#REF!,[5]development!#REF!,[5]development!#REF!,[5]development!#REF!,[5]development!#REF!,[5]development!#REF!,[5]development!#REF!,[5]development!$A$89:$IV$89,[5]development!#REF!,[5]development!#REF!,[5]development!#REF!</definedName>
    <definedName name="Cwvu.bottom._.line." hidden="1">[5]development!$A$16:$IV$16,[5]development!$A$21:$IV$21,[5]development!#REF!,[5]development!#REF!,[5]development!$A$36:$IV$36,[5]development!$A$46:$IV$46,[5]development!#REF!,[5]development!#REF!,[5]development!#REF!,[5]development!#REF!,[5]development!#REF!,[5]development!#REF!,[5]development!#REF!,[5]development!#REF!,[5]development!#REF!,[5]development!$A$89:$IV$89,[5]development!#REF!,[5]development!#REF!,[5]development!#REF!,[5]development!#REF!,[5]development!#REF!,[5]development!#REF!</definedName>
    <definedName name="Cwvu.cash._.flow." hidden="1">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wvu.combo." hidden="1">[5]development!$A$16:$IV$16,[5]development!$A$21:$IV$21,[5]development!#REF!,[5]development!#REF!,[5]development!$A$36:$IV$36,[5]development!$A$46:$IV$46,[5]development!#REF!,[5]development!#REF!,[5]development!#REF!,[5]development!#REF!,[5]development!#REF!,[5]development!#REF!,[5]development!#REF!,[5]development!#REF!,[5]development!#REF!,[5]development!$A$85:$IV$85,[5]development!$A$89:$IV$89,[5]development!$A$91:$IV$91,[5]development!#REF!,[5]development!#REF!,[5]development!#REF!,[5]development!#REF!</definedName>
    <definedName name="Cwvu.GREY_ALL." hidden="1">#REF!</definedName>
    <definedName name="dd" hidden="1">{"Print_Detail",#N/A,FALSE,"Redemption_Maturity Extract"}</definedName>
    <definedName name="ddd" hidden="1">{"Full",#N/A,FALSE,"Sec MTN B Summary"}</definedName>
    <definedName name="dddd" hidden="1">{"RedPrem_InitRed View",#N/A,FALSE,"Sec MTN B Summary"}</definedName>
    <definedName name="dddddd" hidden="1">{"Pivot1",#N/A,FALSE,"Redemption_Maturity Extract"}</definedName>
    <definedName name="dddddddd" hidden="1">{"Pivot2",#N/A,FALSE,"Redemption_Maturity Extract"}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stimate" localSheetId="1" hidden="1">{#N/A,#N/A,FALSE,"Summ";#N/A,#N/A,FALSE,"General"}</definedName>
    <definedName name="Estimate" hidden="1">{#N/A,#N/A,FALSE,"Summ";#N/A,#N/A,FALSE,"General"}</definedName>
    <definedName name="EV__ALLOWSTOPEXPAND__" hidden="1">1</definedName>
    <definedName name="EV__EVCOM_OPTIONS__" hidden="1">8</definedName>
    <definedName name="EV__EXPOPTIONS__" hidden="1">0</definedName>
    <definedName name="EV__LASTREFTIME__" hidden="1">40535.431400463</definedName>
    <definedName name="EV__MAXEXPCOLS__" hidden="1">100</definedName>
    <definedName name="EV__MAXEXPROWS__" hidden="1">2000</definedName>
    <definedName name="EV__MEMORYCVW__" hidden="1">0</definedName>
    <definedName name="EV__WBEVMODE__" hidden="1">0</definedName>
    <definedName name="EV__WBREFOPTIONS__" hidden="1">55</definedName>
    <definedName name="EV__WBVERSION__" hidden="1">0</definedName>
    <definedName name="EV__WSINFO__" hidden="1">"kab"</definedName>
    <definedName name="ex" localSheetId="1" hidden="1">{#N/A,#N/A,FALSE,"Summ";#N/A,#N/A,FALSE,"General"}</definedName>
    <definedName name="ex" hidden="1">{#N/A,#N/A,FALSE,"Summ";#N/A,#N/A,FALSE,"General"}</definedName>
    <definedName name="fffff" hidden="1">{"ALL",#N/A,FALSE,"A"}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dfsad" hidden="1">{"ALL",#N/A,FALSE,"A"}</definedName>
    <definedName name="gr" hidden="1">{"three",#N/A,FALSE,"Capital";"four",#N/A,FALSE,"Capital"}</definedName>
    <definedName name="help" hidden="1">{"ALL",#N/A,FALSE,"A"}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IM" hidden="1">{#N/A,#N/A,FALSE,"Sheet5"}</definedName>
    <definedName name="June" hidden="1">{"three",#N/A,FALSE,"Capital";"four",#N/A,FALSE,"Capital"}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2_WBEVMODE" hidden="1">0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3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1" hidden="1">{#N/A,#N/A,FALSE,"Summ";#N/A,#N/A,FALSE,"General"}</definedName>
    <definedName name="new" hidden="1">{#N/A,#N/A,FALSE,"Summ";#N/A,#N/A,FALSE,"General"}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l_Workbook_GUID" hidden="1">"VX3CWJGNQX2CCGI81U4N2V76"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PPPPPPPPPPPPPPP" hidden="1">{#N/A,#N/A,FALSE,"Sheet5"}</definedName>
    <definedName name="PricingInfo" hidden="1">[6]Inputs!#REF!</definedName>
    <definedName name="_xlnm.Print_Area" localSheetId="9">'Gas Conv Factor'!$B$4:$F$23</definedName>
    <definedName name="_xlnm.Print_Area" localSheetId="7">ROR!$H$5:$R$23</definedName>
    <definedName name="_xlnm.Print_Titles" localSheetId="5">'LNG Depreciation Deferral'!$1:$10</definedName>
    <definedName name="_xlnm.Print_Titles" localSheetId="4">'LNG O&amp;M Deferral'!$1:$10</definedName>
    <definedName name="_xlnm.Print_Titles" localSheetId="6">'LNG Return Deferral'!$1:$10</definedName>
    <definedName name="_xlnm.Print_Titles" localSheetId="8">'O&amp;M'!$A:$A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Rwvu.allocations." hidden="1">#REF!</definedName>
    <definedName name="Rwvu.annual._.hotel." hidden="1">[5]development!#REF!</definedName>
    <definedName name="Rwvu.bottom._.line." hidden="1">[5]development!#REF!</definedName>
    <definedName name="Rwvu.cash._.flow." hidden="1">#REF!</definedName>
    <definedName name="Rwvu.combo." hidden="1">[5]development!#REF!</definedName>
    <definedName name="Rwvu.offsite." hidden="1">#REF!</definedName>
    <definedName name="Rwvu.onsite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"45FIHJWMI3GHFVKWLVCY66MTN"</definedName>
    <definedName name="SAPsysID" hidden="1">"708C5W7SBKP804JT78WJ0JNKI"</definedName>
    <definedName name="SAPwbID" hidden="1">"ARS"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ippw" hidden="1">{#N/A,#N/A,FALSE,"Actual";#N/A,#N/A,FALSE,"Normalized";#N/A,#N/A,FALSE,"Electric Actual";#N/A,#N/A,FALSE,"Electric Normalized"}</definedName>
    <definedName name="SpreadsheetBuilder_2" hidden="1">[7]Sheet2!#REF!</definedName>
    <definedName name="SpreadsheetBuilder_3" hidden="1">[8]Sheet2!#REF!</definedName>
    <definedName name="standard1" hidden="1">{"YTD-Total",#N/A,FALSE,"Provision"}</definedName>
    <definedName name="Swvu.allocations." hidden="1">#REF!</definedName>
    <definedName name="Swvu.annual._.hotel." hidden="1">[5]development!$C$5</definedName>
    <definedName name="Swvu.bottom._.line." hidden="1">[5]development!#REF!</definedName>
    <definedName name="Swvu.cash._.flow." hidden="1">#REF!</definedName>
    <definedName name="Swvu.combo." hidden="1">[5]development!$B$89</definedName>
    <definedName name="Swvu.full." hidden="1">#REF!</definedName>
    <definedName name="Swvu.offsite." hidden="1">#REF!</definedName>
    <definedName name="Swvu.onsite." hidden="1">#REF!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P_Footer_User" hidden="1">"Dylan Moser"</definedName>
    <definedName name="TP_Footer_Version" hidden="1">"v4.00"</definedName>
    <definedName name="trth" hidden="1">{"ALL",#N/A,FALSE,"A"}</definedName>
    <definedName name="u" localSheetId="1" hidden="1">{#N/A,#N/A,FALSE,"Summ";#N/A,#N/A,FALSE,"General"}</definedName>
    <definedName name="u" hidden="1">{#N/A,#N/A,FALSE,"Summ";#N/A,#N/A,FALSE,"General"}</definedName>
    <definedName name="vcdv" hidden="1">#REF!</definedName>
    <definedName name="w" hidden="1">[9]Inputs!#REF!</definedName>
    <definedName name="wr" hidden="1">{"Output-3Column",#N/A,FALSE,"Output"}</definedName>
    <definedName name="wrn" hidden="1">{"Inflation-BaseYear",#N/A,FALSE,"Inputs"}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hidden="1">{"Page 3.4.1",#N/A,FALSE,"Totals";"Page 3.4.2",#N/A,FALSE,"Totals"}</definedName>
    <definedName name="wrn.ALL." hidden="1">{"ALL",#N/A,FALSE,"A"}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All._.Sheets." hidden="1">{"IncSt",#N/A,FALSE,"IS";"BalSht",#N/A,FALSE,"BS";"IntCash",#N/A,FALSE,"Int. Cash";"Stats",#N/A,FALSE,"Stats"}</definedName>
    <definedName name="wrn.annual." hidden="1">{"annual",#N/A,FALSE,"Pro Forma"}</definedName>
    <definedName name="wrn.Annual._.Detail." hidden="1">{"annualsum",#N/A,FALSE,"Cost Summary";"annual1",#N/A,FALSE,"Phase_1";"annual2",#N/A,FALSE,"Phase_2";"annual3",#N/A,FALSE,"Phase_3";"annual4",#N/A,FALSE,"Phase_4"}</definedName>
    <definedName name="wrn.Annual._.Golf." hidden="1">{"a_dev",#N/A,FALSE,"Golf Development";"a_memstats",#N/A,FALSE,"Golf Development";"a_opstats",#N/A,FALSE,"Golf Development";"a_rev",#N/A,FALSE,"Golf Development";"a_return",#N/A,FALSE,"Golf Development"}</definedName>
    <definedName name="wrn.Annual._.Hotel." hidden="1">{"annual hotel",#N/A,FALSE,"Hotel Development"}</definedName>
    <definedName name="wrn.Annual._.Land._.Sales." hidden="1">{"annual",#N/A,FALSE,"Land Sales"}</definedName>
    <definedName name="wrn.Annual._.Report." hidden="1">{"annual",#N/A,FALSE,"Pro Forma";#N/A,#N/A,FALSE,"Golf Operations"}</definedName>
    <definedName name="wrn.Annual._.Report._.no._.releases." hidden="1">{"a_sales",#N/A,FALSE,"Summary";"a_debt",#N/A,FALSE,"Summary";"a_cash",#N/A,FALSE,"Summary";"a_accrual",#N/A,FALSE,"Summary"}</definedName>
    <definedName name="wrn.Annual._.Report._.with._.releases." hidden="1">{"a_sales",#N/A,FALSE,"Summary";"a_debt",#N/A,FALSE,"Summary";"a_releases",#N/A,FALSE,"Summary";"a_cash",#N/A,FALSE,"Summary";"a_accrual",#N/A,FALSE,"Summary"}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ssets." hidden="1">{"ASSETS",#N/A,FALSE,"Assets"}</definedName>
    <definedName name="wrn.ASSOC_CO." hidden="1">{"ASSC_CO",#N/A,FALSE,"A"}</definedName>
    <definedName name="wrn.BidCo." hidden="1">{#N/A,#N/A,FALSE,"BidCo Assumptions";#N/A,#N/A,FALSE,"Credit Stats";#N/A,#N/A,FALSE,"Bidco Summary";#N/A,#N/A,FALSE,"BIDCO Consolidated"}</definedName>
    <definedName name="wrn.BS." hidden="1">{"BS",#N/A,FALSE,"A"}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ASH." hidden="1">{#N/A,#N/A,FALSE,"Sheet5"}</definedName>
    <definedName name="wrn.Cash._.and._.Accrual." hidden="1">{"a_cash",#N/A,FALSE,"Summary";"a_accrual",#N/A,FALSE,"Summary"}</definedName>
    <definedName name="wrn.Combined._.YTD." hidden="1">{"YTD-Total",#N/A,TRUE,"Provision";"YTD-Utility",#N/A,TRUE,"Prov Utility";"YTD-NonUtility",#N/A,TRUE,"Prov NonUtility"}</definedName>
    <definedName name="wrn.Complete._.Report." hidden="1">{"Schedule A - Cost of Equity results",#N/A,TRUE,"Summary Results";"Schedule 1B - Cost of Capital Results",#N/A,TRUE,"Final Summary Sheet";"Schedule 2 A - Selected Cohort Financial Data",#N/A,TRUE,"COMPCO";"Schedule 2 B - EPS, etc. Cohort",#N/A,TRUE,"COMPCO";"Schedule 2 C - Cohort Group Growth Estimates",#N/A,TRUE,"COMPCO";"Schedule 2 D - OPUC-Selected Companies",#N/A,TRUE,"COMPCO";"Schedules 3A &amp; 3B - Single-stage DCF Analyses",#N/A,TRUE,"Single-Stage and 5-Year DCF"}</definedName>
    <definedName name="wrn.ConsolGrossGrp." hidden="1">{"Conol gross povision grouped",#N/A,FALSE,"Consol Gross";"Consol Gross Grouped",#N/A,FALSE,"Consol Gross"}</definedName>
    <definedName name="wrn.Current._.Estimate." hidden="1">{#N/A,#N/A,FALSE,"Title Page";#N/A,#N/A,FALSE,"Last Ce to Current Ce";#N/A,#N/A,FALSE,"CE to Plan";#N/A,#N/A,FALSE,"Last CE to Actual";#N/A,#N/A,FALSE,"Actual to Plan";#N/A,#N/A,FALSE,"Net Cash Flow Chg";#N/A,#N/A,FALSE,"Net Cash Flow Fix";#N/A,#N/A,FALSE,"Net Cash Flow";#N/A,#N/A,FALSE,"Balance Sheet";#N/A,#N/A,FALSE,"Cash Flow";#N/A,#N/A,FALSE,"III X Capital";#N/A,#N/A,FALSE,"Monthly Summary-Consolidated";#N/A,#N/A,FALSE,"Monthly Summary-Other";#N/A,#N/A,FALSE,"III X II LP Capital";#N/A,#N/A,FALSE,"Monthly Summary-IIIXIILP";#N/A,#N/A,FALSE,"Monthly Summary-SEI";#N/A,#N/A,FALSE,"Monthly Summary-Raton";#N/A,#N/A,FALSE,"Monthly Summary-Utah";#N/A,#N/A,FALSE,"Monthly Summary-Corp G&amp;A";#N/A,#N/A,FALSE,"Monthly Summary-Capital Plan";#N/A,#N/A,FALSE,"Income Tax Provision";#N/A,#N/A,FALSE,"IIIX Debt"}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CF._.Valuation." hidden="1">{"value box",#N/A,TRUE,"DPL Inc. Fin Statements";"unlevered free cash flows",#N/A,TRUE,"DPL Inc. Fin Statements"}</definedName>
    <definedName name="wrn.Detail." hidden="1">{"Print_Detail",#N/A,FALSE,"Redemption_Maturity Extract"}</definedName>
    <definedName name="wrn.Diane._.s._.Version." hidden="1">{"Full",#N/A,FALSE,"Sec MTN B Summary"}</definedName>
    <definedName name="wrn.Distribution._.Version." hidden="1">{"RedPrem_InitRed View",#N/A,FALSE,"Sec MTN B Summary"}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CB." hidden="1">{"FCB_ALL",#N/A,FALSE,"FCB"}</definedName>
    <definedName name="wrn.fcb2" hidden="1">{"FCB_ALL",#N/A,FALSE,"FCB"}</definedName>
    <definedName name="wrn.Financials." hidden="1">{#N/A,#N/A,TRUE,"Income Statement";#N/A,#N/A,TRUE,"Balance Sheet";#N/A,#N/A,TRUE,"Cash Flow"}</definedName>
    <definedName name="wrn.Five._.Year._.Test." hidden="1">{"Five Year Plan",#N/A,TRUE,"Monthly Summary-IIIXIILP";"Five Year Plan",#N/A,TRUE,"Cash Flow"}</definedName>
    <definedName name="wrn.full._.report.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wrn.Full._.View." hidden="1">{"FullView",#N/A,FALSE,"Consltd-For contngcy"}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reg." hidden="1">{"three",#N/A,FALSE,"Capital";"four",#N/A,FALSE,"Capital"}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II._.X._.Co._.Five._.Year._.Plan." hidden="1">{#N/A,#N/A,TRUE,"Title Page-Financial Stmts IIIX";"Balance Sheet Five Year Plan",#N/A,TRUE,"Balance Sheet";"Cash Flow Five Year Plan",#N/A,TRUE,"Cash Flow";"III X Capital Five Year Plan",#N/A,TRUE,"III X Capital";"Consol Income Five Year Plan",#N/A,TRUE,"Monthly Summary-Consolidated";"Other Income Five Year Plan",#N/A,TRUE,"Monthly Summary-Other";"IIIXIILPCapital Five Year Plan",#N/A,TRUE,"III X II LP Capital";"IIIXIILP Income Five Year Plan",#N/A,TRUE,"Monthly Summary-IIIXIILP";"QEP Income Five Year Plan",#N/A,TRUE,"Monthly Summary-SEI";"Raton Income Five Year Plan",#N/A,TRUE,"Monthly Summary-Raton";"AC Income Five Year Plan",#N/A,TRUE,"Monthly Summary-Utah";"G&amp;A Five Year Plan",#N/A,TRUE,"Monthly Summary-Corp G&amp;A";"CAPEX Five Year Plan",#N/A,TRUE,"Monthly Summary-Capital Plan";"Drilling Prog Five Year Plan",#N/A,TRUE,"Drilling Prog Current";"Debt Five Year Plan",#N/A,TRUE,"IIIX Debt";"Income Tax Five Year Plan",#N/A,TRUE,"Income Tax Provision"}</definedName>
    <definedName name="wrn.IIIXCo._.Five._.Year._.Summary._.Reports." hidden="1">{#N/A,#N/A,TRUE,"Title Page-Financial Stmts IIIX";#N/A,#N/A,TRUE,"Sumry_Income IIIXCo";#N/A,#N/A,TRUE,"Sumry_Balance Sheet IIIXCo";#N/A,#N/A,TRUE,"Sumry_Cash Flow IIIXCo";#N/A,#N/A,TRUE,"Antelope Creek";#N/A,#N/A,TRUE,"QEP";#N/A,#N/A,TRUE,"Raton"}</definedName>
    <definedName name="wrn.IIIXCo._.FY._.2004._.Plan." hidden="1">{"IIIXCo FY 04 Plan",#N/A,FALSE,"Monthly Summary-IIIXIILP"}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Inputs." hidden="1">{"Inflation-BaseYear",#N/A,FALSE,"Inputs"}</definedName>
    <definedName name="wrn.Invested._.Capital." hidden="1">{#N/A,#N/A,FALSE,"Invested Capital-Total";#N/A,#N/A,FALSE,"Invested Capital-SEI";#N/A,#N/A,FALSE,"Invested Capital-Utah";#N/A,#N/A,FALSE,"Invested Capital-Raton"}</definedName>
    <definedName name="wrn.Liab." hidden="1">{"LIAB",#N/A,FALSE,"Liab"}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tWorth." hidden="1">{"NW",#N/A,FALSE,"STMT"}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utput3Column." hidden="1">{"Output-3Column",#N/A,FALSE,"Output"}</definedName>
    <definedName name="wrn.OutputAll." hidden="1">{"Output-All",#N/A,FALSE,"Output"}</definedName>
    <definedName name="wrn.OutputBaseYear." hidden="1">{"Output-BaseYear",#N/A,FALSE,"Output"}</definedName>
    <definedName name="wrn.OutputMin." hidden="1">{"Output-Min",#N/A,FALSE,"Output"}</definedName>
    <definedName name="wrn.OutputPercent." hidden="1">{"Output%",#N/A,FALSE,"Output"}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d." hidden="1">{"Pfd",#N/A,FALSE,"Pfd"}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ivot1." hidden="1">{"Pivot1",#N/A,FALSE,"Redemption_Maturity Extract"}</definedName>
    <definedName name="wrn.Pivot2." hidden="1">{"Pivot2",#N/A,FALSE,"Redemption_Maturity Extract"}</definedName>
    <definedName name="wrn.Plan._.2004." hidden="1">{#N/A,#N/A,TRUE,"Title Page";#N/A,#N/A,TRUE,"Net Cash Flow";#N/A,#N/A,TRUE,"Balance Sheet";#N/A,#N/A,TRUE,"Cash Flow";#N/A,#N/A,TRUE,"III X Capital";#N/A,#N/A,TRUE,"Monthly Summary-Consolidated";#N/A,#N/A,TRUE,"Monthly Summary-Other";#N/A,#N/A,TRUE,"Monthly Summary-IIIXIILP";#N/A,#N/A,TRUE,"Monthly Summary-SEI";#N/A,#N/A,TRUE,"Monthly Summary-Raton";#N/A,#N/A,TRUE,"Monthly Summary-Utah";#N/A,#N/A,TRUE,"Monthly Summary-Corp G&amp;A";#N/A,#N/A,TRUE,"Monthly Summary-Capital Plan";#N/A,#N/A,TRUE,"Drilling Prog Current";#N/A,#N/A,TRUE,"IIIX Debt";#N/A,#N/A,TRUE,"Income Tax Provision"}</definedName>
    <definedName name="wrn.PPMCoCodeView." hidden="1">{"PPM Co Code View",#N/A,FALSE,"Comp Codes"}</definedName>
    <definedName name="wrn.PPMreconview." hidden="1">{"PPM Recon View",#N/A,FALSE,"Hyperion Proof"}</definedName>
    <definedName name="wrn.PrintAll." hidden="1">{"PA1",#N/A,TRUE,"BORDMW";"pa2",#N/A,TRUE,"BORDMW";"PA3",#N/A,TRUE,"BORDMW";"PA4",#N/A,TRUE,"BORDMW"}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hidden="1">{"Electric Only",#N/A,FALSE,"Hyperion Proof"}</definedName>
    <definedName name="wrn.ProofTotal." hidden="1">{"Proof Total",#N/A,FALSE,"Hyperion Proof"}</definedName>
    <definedName name="wrn.quarterly." hidden="1">{"quarterly",#N/A,FALSE,"Pro Forma"}</definedName>
    <definedName name="wrn.Reformat._.only." hidden="1">{#N/A,#N/A,FALSE,"Dec 1999 mapping"}</definedName>
    <definedName name="wrn.Releases._.Cash._.Accrual." hidden="1">{"a_releases",#N/A,FALSE,"Summary";"a_cash",#N/A,FALSE,"Summary";"a_accrual",#N/A,FALSE,"Summary"}</definedName>
    <definedName name="wrn.rpt96." hidden="1">{"rmrev1",#N/A,FALSE,"Forecast96";"rmrev2",#N/A,FALSE,"Forecast96";"rmrev3",#N/A,FALSE,"Forecast96"}</definedName>
    <definedName name="wrn.sales." hidden="1">{"sales",#N/A,FALSE,"Sales";"sales existing",#N/A,FALSE,"Sales";"sales rd1",#N/A,FALSE,"Sales";"sales rd2",#N/A,FALSE,"Sales"}</definedName>
    <definedName name="wrn.Sales._.and._.Debt." hidden="1">{"a_sales",#N/A,FALSE,"Summary";"a_debt",#N/A,FALSE,"Summary"}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._.BC." hidden="1">{"SCHED_B&amp;C",#N/A,FALSE,"A"}</definedName>
    <definedName name="wrn.SCHED._.DE." hidden="1">{"SCHED_D&amp;E",#N/A,FALSE,"A"}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hared._.Costs." hidden="1">{"cash flow",#N/A,FALSE,"Shared Costs";"allocations",#N/A,FALSE,"Shared Costs"}</definedName>
    <definedName name="wrn.SHEDA." hidden="1">{"SCHED_A",#N/A,FALSE,"A"}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TAND_ALONE_BOTH." hidden="1">{"FCB_ALL",#N/A,FALSE,"FCB";"GREY_ALL",#N/A,FALSE,"GREY"}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Summary._.View." hidden="1">{#N/A,#N/A,FALSE,"Consltd-For contngcy"}</definedName>
    <definedName name="wrn.Tariff99." hidden="1">{"103Decup",#N/A,TRUE,"TRF103";"101Refund",#N/A,TRUE,"TRF101A";"101EEAAcct",#N/A,TRUE,"TRF101C";"107DSMRef",#N/A,TRUE,"TRF107";"107Amort",#N/A,TRUE,"DSM Amort";"102RPAInt",#N/A,TRUE,"TRF102B";"111Price1",#N/A,TRUE,"TRF111A";"111Price2",#N/A,TRUE,"TRF111B"}</definedName>
    <definedName name="wrn.UK._.Conversion._.Only." hidden="1">{#N/A,#N/A,FALSE,"Dec 1999 UK Continuing Ops"}</definedName>
    <definedName name="wrn.Wacc." hidden="1">{"Area1",#N/A,FALSE,"OREWACC";"Area2",#N/A,FALSE,"OREWACC"}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rng" hidden="1">{"Output-BaseYear",#N/A,FALSE,"Output"}</definedName>
    <definedName name="wrnh" hidden="1">{"Output-All",#N/A,FALSE,"Output"}</definedName>
    <definedName name="wvu.allocations." hidden="1">{TRUE,TRUE,-1.41610738255034,-14.9463087248322,497.718120805369,308.295302013423,FALSE,TRUE,TRUE,TRUE,0,1,1,1,40,3,2.68,4,TRUE,TRUE,3,TRUE,1,FALSE,100,"Swvu.allocations.","ACwvu.allocations.",#N/A,FALSE,FALSE,0.5,0.5,0.5,0.5,1,"","&amp;L&amp;F   &amp;A&amp;R&amp;D   &amp;T",TRUE,FALSE,FALSE,FALSE,1,100,#N/A,#N/A,"=R1C1:R118C10","=R1:R2","Rwvu.allocations.",#N/A,FALSE,FALSE,TRUE,1,4294967292,300,FALSE,FALSE,TRUE,TRUE,TRUE}</definedName>
    <definedName name="wvu.annual." hidden="1">{TRUE,TRUE,-1.41610738255034,-14.9463087248322,497.718120805369,308.295302013423,FALSE,TRUE,TRUE,TRUE,0,1,#N/A,1,1,9.97,4.21739130434783,3,FALSE,TRUE,3,TRUE,1,FALSE,100,"Swvu.annual.","ACwvu.annual.",#N/A,FALSE,FALSE,0.5,0.5,0.5,0.5,2,"","&amp;L&amp;""Palatino,Regular""&amp;9&amp;F&amp;C&amp;""Palatino,Regular""&amp;9LAND SALES DETAIL - Page &amp;P of &amp;N&amp;R&amp;""Palatino,Regular""&amp;9&amp;D   &amp;T",TRUE,FALSE,FALSE,FALSE,2,90,#N/A,#N/A,"=R1C1:R174C16","=R1:R3","Rwvu.annual.","Cwvu.annual.",FALSE,FALSE,FALSE,1,4294967292,300,FALSE,FALSE,TRUE,TRUE,TRUE}</definedName>
    <definedName name="wvu.annual._.hotel." hidden="1">{TRUE,TRUE,-1.41610738255034,-14.9463087248322,497.718120805369,308.295302013423,FALSE,TRUE,TRUE,TRUE,0,1,1,1,1,1,2.08695652173913,4,TRUE,TRUE,3,TRUE,1,FALSE,100,"Swvu.annual._.hotel.","ACwvu.annual._.hotel.",#N/A,FALSE,FALSE,0.5,0.5,0.5,0.5,2,"","&amp;L&amp;8&amp;F&amp;C&amp;8HOTEL DEVELOPMENT - Page &amp;P of &amp;N&amp;R&amp;8&amp;D   &amp;T",TRUE,FALSE,FALSE,FALSE,2,#N/A,1,#N/A,#DIV/0!,"=R1:R2","Rwvu.annual._.hotel.","Cwvu.annual._.hotel.",FALSE,FALSE,FALSE,1,4294967292,300,FALSE,FALSE,TRUE,TRUE,TRUE}</definedName>
    <definedName name="wvu.bottom._.line." hidden="1">{TRUE,TRUE,-1.41610738255034,-14.9463087248322,497.718120805369,308.295302013423,FALSE,TRUE,TRUE,TRUE,0,1,1,1,280,1,2.17391304347826,4,TRUE,TRUE,3,TRUE,1,FALSE,100,"Swvu.bottom._.line.","ACwvu.bottom._.line.",#N/A,FALSE,FALSE,0.5,0.5,0.5,0.5,2,"","&amp;L&amp;8&amp;F   &amp;A&amp;R&amp;8&amp;D   &amp;T",TRUE,FALSE,FALSE,FALSE,2,#N/A,1,#N/A,#DIV/0!,"=R1:R2","Rwvu.bottom._.line.","Cwvu.bottom._.line.",FALSE,FALSE,FALSE,1,4294967292,300,FALSE,FALSE,TRUE,TRUE,TRUE}</definedName>
    <definedName name="wvu.cash._.flow." hidden="1">{TRUE,TRUE,-1.41610738255034,-14.9463087248322,497.718120805369,308.295302013423,FALSE,TRUE,TRUE,TRUE,0,1,1,1,1,1,2.40816326530612,4,TRUE,TRUE,3,TRUE,1,FALSE,100,"Swvu.cash._.flow.","ACwvu.cash._.flow.",#N/A,FALSE,FALSE,0.5,0.5,0.5,0.5,2,"","&amp;L&amp;""Palatino,Regular""&amp;8&amp;F&amp;C&amp;""Palatino,Regular""&amp;8SHARED COSTS&amp;R&amp;""Palatino,Regular""&amp;8&amp;D   &amp;T",TRUE,FALSE,FALSE,FALSE,1,#N/A,1,1,"=R1C1:R120C22",FALSE,"Rwvu.cash._.flow.","Cwvu.cash._.flow.",FALSE,FALSE,FALSE,1,4294967292,300,FALSE,FALSE,TRUE,TRUE,TRUE}</definedName>
    <definedName name="wvu.combo." hidden="1">{TRUE,TRUE,-1.41610738255034,-14.9463087248322,497.718120805369,308.295302013423,FALSE,TRUE,TRUE,TRUE,0,1,3,1,170,1,1.07142857142857,3,TRUE,TRUE,3,TRUE,1,FALSE,100,"Swvu.combo.","ACwvu.combo.",#N/A,FALSE,FALSE,0.5,0.5,0.5,0.5,2,"","&amp;L&amp;8&amp;F   &amp;A&amp;R&amp;8&amp;D   &amp;T",TRUE,FALSE,FALSE,FALSE,2,#N/A,1,#N/A,#DIV/0!,"=R1:R2","Rwvu.combo.","Cwvu.combo.",FALSE,FALSE,FALSE,1,4294967292,300,FALSE,FALSE,TRUE,TRUE,TRUE}</definedName>
    <definedName name="wvu.full." hidden="1">{TRUE,TRUE,-1.41610738255034,-14.9463087248322,497.718120805369,308.295302013423,FALSE,TRUE,TRUE,TRUE,0,1,#N/A,1,1,8.41904761904762,2.4,3,FALSE,TRUE,3,TRUE,1,FALSE,100,"Swvu.full.","ACwvu.full.",#N/A,FALSE,FALSE,0.5,0.5,0.5,0.5,2,"","&amp;L&amp;F&amp;R&amp;D   &amp;T",TRUE,FALSE,FALSE,FALSE,1,#N/A,1,1,"=R1C1:R97C24",FALSE,#N/A,#N/A,FALSE,FALSE,FALSE,1,4294967292,300,FALSE,FALSE,TRUE,TRUE,TRUE}</definedName>
    <definedName name="wvu.offsite." hidden="1">{TRUE,TRUE,-1.41610738255034,-14.9463087248322,497.718120805369,308.295302013423,FALSE,TRUE,TRUE,TRUE,0,1,1,1,1,3,2.91836734693878,4,TRUE,TRUE,3,TRUE,1,FALSE,100,"Swvu.offsite.","ACwvu.offsite.",#N/A,FALSE,FALSE,0.5,0.5,0.5,0.5,1,"","&amp;L&amp;""Palatino,Regular""&amp;8&amp;F&amp;C&amp;""Palatino,Regular""&amp;8SHARED COSTS&amp;R&amp;""Palatino,Regular""&amp;8&amp;D   &amp;T",TRUE,FALSE,FALSE,FALSE,1,#N/A,1,1,#DIV/0!,"=R1:R2","Rwvu.offsite.",#N/A,FALSE,FALSE,FALSE,1,4294967292,300,FALSE,FALSE,TRUE,TRUE,TRUE}</definedName>
    <definedName name="wvu.onsite." hidden="1">{TRUE,TRUE,-1.41610738255034,-14.9463087248322,497.718120805369,308.295302013423,FALSE,TRUE,TRUE,TRUE,0,1,1,1,1,3,2.83673469387755,4,TRUE,TRUE,3,TRUE,1,FALSE,100,"Swvu.onsite.","ACwvu.onsite.",#N/A,FALSE,FALSE,0.5,0.5,0.5,0.5,1,"","&amp;L&amp;""Palatino,Regular""&amp;8&amp;F&amp;C&amp;""Palatino,Regular""&amp;8SHARED COSTS&amp;R&amp;""Palatino,Regular""&amp;8&amp;D   &amp;T",TRUE,FALSE,FALSE,FALSE,1,#N/A,1,1,#DIV/0!,"=R1:R2","Rwvu.onsite.",#N/A,FALSE,FALSE,FALSE,1,4294967292,300,FALSE,FALSE,TRUE,TRUE,TRUE}</definedName>
    <definedName name="wvu.quarterly." hidden="1">{TRUE,TRUE,-1.25,-15.5,484.5,270,FALSE,TRUE,TRUE,TRUE,0,1,2,2,1,3,1.93333333333333,4,TRUE,TRUE,3,TRUE,1,FALSE,75,"Swvu.quarterly.","ACwvu.quarterly.",#N/A,FALSE,FALSE,0.25,0.25,0.5,0.5,2,"","&amp;L&amp;10&amp;F   &amp;A&amp;C&amp;10Page &amp;P&amp;R&amp;10&amp;D   &amp;T",FALSE,FALSE,FALSE,FALSE,2,71,#N/A,#N/A,"=R1C1:R153C72","=C1:C4,R1:R3","Rwvu.quarterly.",#N/A,FALSE,FALSE,TRUE,1,65532,65532,FALSE,FALSE,TRUE,TRUE,TRUE}</definedName>
    <definedName name="xxx" hidden="1">#REF!</definedName>
    <definedName name="y" hidden="1">#REF!</definedName>
    <definedName name="z" hidden="1">'[1]DSM Output'!$G$21:$G$23</definedName>
    <definedName name="Z_01844156_6462_4A28_9785_1A86F4D0C834_.wvu.PrintTitles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3" l="1"/>
  <c r="B24" i="5"/>
  <c r="B23" i="5"/>
  <c r="B22" i="5"/>
  <c r="B21" i="5"/>
  <c r="B20" i="5"/>
  <c r="B19" i="5"/>
  <c r="F18" i="5"/>
  <c r="F20" i="5" s="1"/>
  <c r="F22" i="5" s="1"/>
  <c r="F23" i="5" s="1"/>
  <c r="B18" i="5"/>
  <c r="B17" i="5"/>
  <c r="B16" i="5"/>
  <c r="F24" i="5" l="1"/>
  <c r="K3" i="17"/>
  <c r="J3" i="17"/>
  <c r="G3" i="17"/>
  <c r="F3" i="17"/>
  <c r="Q37" i="17"/>
  <c r="H111" i="10" l="1"/>
  <c r="G22" i="3" l="1"/>
  <c r="G25" i="3"/>
  <c r="F24" i="17" l="1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23" i="17"/>
  <c r="F19" i="17"/>
  <c r="F20" i="17"/>
  <c r="F21" i="17"/>
  <c r="F22" i="17"/>
  <c r="F17" i="17"/>
  <c r="F18" i="17"/>
  <c r="F16" i="17"/>
  <c r="F15" i="17"/>
  <c r="F14" i="17"/>
  <c r="F13" i="17"/>
  <c r="F12" i="17"/>
  <c r="G27" i="17"/>
  <c r="G28" i="17" s="1"/>
  <c r="G29" i="17" s="1"/>
  <c r="G30" i="17" s="1"/>
  <c r="G31" i="17" s="1"/>
  <c r="G32" i="17" s="1"/>
  <c r="G33" i="17" s="1"/>
  <c r="G34" i="17" s="1"/>
  <c r="G35" i="17" s="1"/>
  <c r="G36" i="17" s="1"/>
  <c r="G37" i="17" s="1"/>
  <c r="G38" i="17" s="1"/>
  <c r="G39" i="17" s="1"/>
  <c r="G40" i="17" s="1"/>
  <c r="G41" i="17" s="1"/>
  <c r="G42" i="17" s="1"/>
  <c r="G43" i="17" s="1"/>
  <c r="G44" i="17" s="1"/>
  <c r="G45" i="17" s="1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23" i="17"/>
  <c r="D22" i="17"/>
  <c r="D21" i="17"/>
  <c r="D20" i="17"/>
  <c r="D19" i="17"/>
  <c r="D18" i="17"/>
  <c r="D17" i="17"/>
  <c r="D16" i="17"/>
  <c r="D15" i="17"/>
  <c r="D14" i="17"/>
  <c r="D13" i="17" l="1"/>
  <c r="D12" i="17"/>
  <c r="I1" i="17" s="1"/>
  <c r="A36" i="3" l="1"/>
  <c r="A35" i="3"/>
  <c r="A33" i="3"/>
  <c r="A32" i="3"/>
  <c r="A31" i="3"/>
  <c r="A30" i="3"/>
  <c r="A29" i="3"/>
  <c r="A26" i="3"/>
  <c r="A25" i="3"/>
  <c r="A24" i="3"/>
  <c r="A23" i="3"/>
  <c r="A21" i="3"/>
  <c r="A19" i="3"/>
  <c r="A18" i="3"/>
  <c r="A17" i="3"/>
  <c r="A16" i="3"/>
  <c r="A15" i="3"/>
  <c r="A14" i="3"/>
  <c r="A13" i="3"/>
  <c r="A10" i="3"/>
  <c r="A9" i="3"/>
  <c r="A8" i="3"/>
  <c r="A7" i="3"/>
  <c r="C50" i="17" l="1"/>
  <c r="B24" i="16"/>
  <c r="M24" i="16" l="1"/>
  <c r="N24" i="16"/>
  <c r="O24" i="16"/>
  <c r="P24" i="16"/>
  <c r="Q24" i="16"/>
  <c r="R24" i="16"/>
  <c r="S24" i="16"/>
  <c r="T24" i="16"/>
  <c r="U24" i="16"/>
  <c r="L24" i="16"/>
  <c r="C41" i="13"/>
  <c r="C24" i="16"/>
  <c r="C42" i="13" s="1"/>
  <c r="D24" i="16"/>
  <c r="C43" i="13" s="1"/>
  <c r="E24" i="16"/>
  <c r="C44" i="13" s="1"/>
  <c r="F24" i="16"/>
  <c r="C45" i="13" s="1"/>
  <c r="G24" i="16"/>
  <c r="C46" i="13" s="1"/>
  <c r="H24" i="16"/>
  <c r="C47" i="13" s="1"/>
  <c r="I24" i="16"/>
  <c r="J24" i="16"/>
  <c r="U25" i="16" l="1"/>
  <c r="J106" i="10" l="1"/>
  <c r="J107" i="10"/>
  <c r="J97" i="10"/>
  <c r="J98" i="10"/>
  <c r="J99" i="10"/>
  <c r="J100" i="10"/>
  <c r="J101" i="10"/>
  <c r="J102" i="10"/>
  <c r="J103" i="10"/>
  <c r="J104" i="10"/>
  <c r="J105" i="10"/>
  <c r="I11" i="17" l="1"/>
  <c r="K11" i="17" s="1"/>
  <c r="H11" i="17"/>
  <c r="J11" i="17" s="1"/>
  <c r="H12" i="17" l="1"/>
  <c r="L11" i="17"/>
  <c r="M11" i="17" s="1"/>
  <c r="N11" i="17" s="1"/>
  <c r="O11" i="17" l="1"/>
  <c r="J12" i="17"/>
  <c r="H13" i="17"/>
  <c r="J106" i="8"/>
  <c r="J107" i="8"/>
  <c r="J103" i="8"/>
  <c r="J104" i="8"/>
  <c r="J105" i="8"/>
  <c r="J98" i="8"/>
  <c r="J99" i="8"/>
  <c r="J100" i="8"/>
  <c r="J101" i="8"/>
  <c r="J102" i="8"/>
  <c r="D24" i="8"/>
  <c r="E24" i="8" s="1"/>
  <c r="J24" i="8"/>
  <c r="K24" i="8" s="1"/>
  <c r="D25" i="8"/>
  <c r="E25" i="8" s="1"/>
  <c r="J25" i="8"/>
  <c r="J99" i="13"/>
  <c r="J100" i="13"/>
  <c r="J101" i="13"/>
  <c r="J102" i="13"/>
  <c r="J103" i="13"/>
  <c r="J104" i="13"/>
  <c r="J105" i="13"/>
  <c r="J106" i="13"/>
  <c r="J107" i="13"/>
  <c r="K25" i="8" l="1"/>
  <c r="H14" i="17"/>
  <c r="J13" i="17"/>
  <c r="J97" i="13"/>
  <c r="J96" i="13"/>
  <c r="H15" i="17" l="1"/>
  <c r="J14" i="17"/>
  <c r="J98" i="13"/>
  <c r="H16" i="17" l="1"/>
  <c r="J15" i="17"/>
  <c r="G26" i="13"/>
  <c r="G27" i="13" s="1"/>
  <c r="G28" i="13" s="1"/>
  <c r="G29" i="13" s="1"/>
  <c r="G30" i="13" s="1"/>
  <c r="G31" i="13" s="1"/>
  <c r="G32" i="13" s="1"/>
  <c r="G33" i="13" s="1"/>
  <c r="G34" i="13" s="1"/>
  <c r="G35" i="13" s="1"/>
  <c r="G36" i="13" s="1"/>
  <c r="G37" i="13" s="1"/>
  <c r="H37" i="13" s="1"/>
  <c r="G26" i="8"/>
  <c r="G35" i="3"/>
  <c r="H17" i="17" l="1"/>
  <c r="J16" i="17"/>
  <c r="H34" i="13"/>
  <c r="H32" i="13"/>
  <c r="H35" i="13"/>
  <c r="H36" i="13"/>
  <c r="H31" i="13"/>
  <c r="H33" i="13"/>
  <c r="H26" i="13"/>
  <c r="H27" i="13"/>
  <c r="H28" i="13"/>
  <c r="H29" i="13"/>
  <c r="H30" i="13"/>
  <c r="H18" i="17" l="1"/>
  <c r="J17" i="17"/>
  <c r="M23" i="16"/>
  <c r="N23" i="16"/>
  <c r="O23" i="16"/>
  <c r="P23" i="16"/>
  <c r="Q23" i="16"/>
  <c r="R23" i="16"/>
  <c r="S23" i="16"/>
  <c r="T23" i="16"/>
  <c r="U23" i="16"/>
  <c r="L23" i="16"/>
  <c r="B23" i="16"/>
  <c r="C23" i="16"/>
  <c r="D23" i="16"/>
  <c r="E23" i="16"/>
  <c r="F23" i="16"/>
  <c r="G23" i="16"/>
  <c r="H23" i="16"/>
  <c r="I23" i="16"/>
  <c r="J23" i="16"/>
  <c r="H19" i="17" l="1"/>
  <c r="J18" i="17"/>
  <c r="U27" i="16"/>
  <c r="C29" i="3" s="1"/>
  <c r="G29" i="3" s="1"/>
  <c r="C47" i="8"/>
  <c r="C46" i="8"/>
  <c r="C45" i="8"/>
  <c r="C44" i="8"/>
  <c r="C43" i="8"/>
  <c r="C42" i="8"/>
  <c r="C40" i="8"/>
  <c r="C39" i="8"/>
  <c r="C38" i="8"/>
  <c r="C35" i="8"/>
  <c r="C34" i="8"/>
  <c r="C33" i="8"/>
  <c r="C32" i="8"/>
  <c r="C31" i="8"/>
  <c r="C30" i="8"/>
  <c r="C29" i="8"/>
  <c r="C28" i="8"/>
  <c r="C26" i="8"/>
  <c r="D26" i="8" s="1"/>
  <c r="H20" i="17" l="1"/>
  <c r="J19" i="17"/>
  <c r="C27" i="8"/>
  <c r="D27" i="8" s="1"/>
  <c r="I12" i="17"/>
  <c r="C36" i="8" s="1"/>
  <c r="C7" i="3"/>
  <c r="G7" i="3" s="1"/>
  <c r="C30" i="3"/>
  <c r="G30" i="3" s="1"/>
  <c r="C41" i="8"/>
  <c r="H21" i="17" l="1"/>
  <c r="J20" i="17"/>
  <c r="I13" i="17"/>
  <c r="C37" i="8" s="1"/>
  <c r="K12" i="17"/>
  <c r="D28" i="8"/>
  <c r="G27" i="8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H22" i="17" l="1"/>
  <c r="J21" i="17"/>
  <c r="K23" i="16"/>
  <c r="I14" i="17"/>
  <c r="K13" i="17"/>
  <c r="L12" i="17"/>
  <c r="M12" i="17" s="1"/>
  <c r="O12" i="17" s="1"/>
  <c r="H27" i="8"/>
  <c r="I27" i="8" s="1"/>
  <c r="D29" i="8"/>
  <c r="G28" i="8"/>
  <c r="H23" i="17" l="1"/>
  <c r="J22" i="17"/>
  <c r="N12" i="17"/>
  <c r="L13" i="17"/>
  <c r="M13" i="17" s="1"/>
  <c r="I15" i="17"/>
  <c r="K14" i="17"/>
  <c r="H28" i="8"/>
  <c r="I28" i="8" s="1"/>
  <c r="D30" i="8"/>
  <c r="G29" i="8"/>
  <c r="H24" i="17" l="1"/>
  <c r="J23" i="17"/>
  <c r="L14" i="17"/>
  <c r="M14" i="17" s="1"/>
  <c r="O14" i="17" s="1"/>
  <c r="I16" i="17"/>
  <c r="K15" i="17"/>
  <c r="N13" i="17"/>
  <c r="O13" i="17"/>
  <c r="H29" i="8"/>
  <c r="I29" i="8" s="1"/>
  <c r="D31" i="8"/>
  <c r="G30" i="8"/>
  <c r="H25" i="17" l="1"/>
  <c r="J24" i="17"/>
  <c r="I17" i="17"/>
  <c r="K16" i="17"/>
  <c r="L15" i="17"/>
  <c r="M15" i="17" s="1"/>
  <c r="N14" i="17"/>
  <c r="H30" i="8"/>
  <c r="I30" i="8" s="1"/>
  <c r="D32" i="8"/>
  <c r="G31" i="8"/>
  <c r="J40" i="13"/>
  <c r="J47" i="13"/>
  <c r="J46" i="13"/>
  <c r="J45" i="13"/>
  <c r="J44" i="13"/>
  <c r="J43" i="13"/>
  <c r="J42" i="13"/>
  <c r="J41" i="13"/>
  <c r="J39" i="13"/>
  <c r="G38" i="13"/>
  <c r="H38" i="13" s="1"/>
  <c r="J25" i="13"/>
  <c r="J24" i="13"/>
  <c r="K24" i="13" s="1"/>
  <c r="D24" i="13"/>
  <c r="E24" i="13" s="1"/>
  <c r="J96" i="10"/>
  <c r="J25" i="10"/>
  <c r="J24" i="10"/>
  <c r="K24" i="10" s="1"/>
  <c r="K25" i="10" s="1"/>
  <c r="D24" i="10"/>
  <c r="J97" i="8"/>
  <c r="J96" i="8"/>
  <c r="K25" i="13" l="1"/>
  <c r="D25" i="13"/>
  <c r="H26" i="17"/>
  <c r="J25" i="17"/>
  <c r="N15" i="17"/>
  <c r="L16" i="17"/>
  <c r="M16" i="17" s="1"/>
  <c r="I18" i="17"/>
  <c r="K17" i="17"/>
  <c r="O15" i="17"/>
  <c r="H31" i="8"/>
  <c r="I31" i="8" s="1"/>
  <c r="D33" i="8"/>
  <c r="G32" i="8"/>
  <c r="E24" i="10"/>
  <c r="D25" i="10"/>
  <c r="E25" i="13"/>
  <c r="G39" i="13"/>
  <c r="H27" i="17" l="1"/>
  <c r="J26" i="17"/>
  <c r="N16" i="17"/>
  <c r="I19" i="17"/>
  <c r="K18" i="17"/>
  <c r="L17" i="17"/>
  <c r="M17" i="17" s="1"/>
  <c r="O17" i="17" s="1"/>
  <c r="O16" i="17"/>
  <c r="H32" i="8"/>
  <c r="I32" i="8" s="1"/>
  <c r="D34" i="8"/>
  <c r="G33" i="8"/>
  <c r="J26" i="8"/>
  <c r="K26" i="8" s="1"/>
  <c r="E25" i="10"/>
  <c r="G40" i="13"/>
  <c r="H39" i="13"/>
  <c r="H28" i="17" l="1"/>
  <c r="J27" i="17"/>
  <c r="L18" i="17"/>
  <c r="M18" i="17" s="1"/>
  <c r="O18" i="17" s="1"/>
  <c r="I20" i="17"/>
  <c r="K19" i="17"/>
  <c r="N17" i="17"/>
  <c r="H33" i="8"/>
  <c r="I33" i="8" s="1"/>
  <c r="D35" i="8"/>
  <c r="G34" i="8"/>
  <c r="H40" i="13"/>
  <c r="G41" i="13"/>
  <c r="J27" i="8"/>
  <c r="K27" i="8" s="1"/>
  <c r="E26" i="8"/>
  <c r="H29" i="17" l="1"/>
  <c r="J28" i="17"/>
  <c r="L19" i="17"/>
  <c r="M19" i="17" s="1"/>
  <c r="O19" i="17" s="1"/>
  <c r="I21" i="17"/>
  <c r="K20" i="17"/>
  <c r="N18" i="17"/>
  <c r="H34" i="8"/>
  <c r="I34" i="8" s="1"/>
  <c r="L27" i="8"/>
  <c r="M27" i="8" s="1"/>
  <c r="N27" i="8"/>
  <c r="D36" i="8"/>
  <c r="G35" i="8"/>
  <c r="E27" i="8"/>
  <c r="J28" i="8"/>
  <c r="K28" i="8" s="1"/>
  <c r="G42" i="13"/>
  <c r="H41" i="13"/>
  <c r="H30" i="17" l="1"/>
  <c r="J29" i="17"/>
  <c r="N19" i="17"/>
  <c r="L20" i="17"/>
  <c r="M20" i="17" s="1"/>
  <c r="O20" i="17" s="1"/>
  <c r="I22" i="17"/>
  <c r="K21" i="17"/>
  <c r="H35" i="8"/>
  <c r="I35" i="8" s="1"/>
  <c r="L28" i="8"/>
  <c r="M28" i="8" s="1"/>
  <c r="N28" i="8"/>
  <c r="D37" i="8"/>
  <c r="G36" i="8"/>
  <c r="J29" i="8"/>
  <c r="K29" i="8" s="1"/>
  <c r="G43" i="13"/>
  <c r="H42" i="13"/>
  <c r="H31" i="17" l="1"/>
  <c r="J30" i="17"/>
  <c r="N20" i="17"/>
  <c r="I23" i="17"/>
  <c r="K22" i="17"/>
  <c r="L21" i="17"/>
  <c r="M21" i="17" s="1"/>
  <c r="H36" i="8"/>
  <c r="I36" i="8" s="1"/>
  <c r="L29" i="8"/>
  <c r="M29" i="8" s="1"/>
  <c r="N29" i="8"/>
  <c r="D38" i="8"/>
  <c r="G37" i="8"/>
  <c r="D26" i="10"/>
  <c r="J30" i="8"/>
  <c r="K30" i="8" s="1"/>
  <c r="H43" i="13"/>
  <c r="G44" i="13"/>
  <c r="E28" i="8"/>
  <c r="H32" i="17" l="1"/>
  <c r="J31" i="17"/>
  <c r="I24" i="17"/>
  <c r="K23" i="17"/>
  <c r="N21" i="17"/>
  <c r="L22" i="17"/>
  <c r="M22" i="17" s="1"/>
  <c r="O21" i="17"/>
  <c r="H37" i="8"/>
  <c r="I37" i="8" s="1"/>
  <c r="L30" i="8"/>
  <c r="M30" i="8" s="1"/>
  <c r="N30" i="8"/>
  <c r="D39" i="8"/>
  <c r="G38" i="8"/>
  <c r="G45" i="13"/>
  <c r="H44" i="13"/>
  <c r="E26" i="10"/>
  <c r="D27" i="10"/>
  <c r="E29" i="8"/>
  <c r="J31" i="8"/>
  <c r="K31" i="8" s="1"/>
  <c r="H33" i="17" l="1"/>
  <c r="J32" i="17"/>
  <c r="N22" i="17"/>
  <c r="L23" i="17"/>
  <c r="M23" i="17" s="1"/>
  <c r="O23" i="17" s="1"/>
  <c r="O22" i="17"/>
  <c r="I25" i="17"/>
  <c r="K24" i="17"/>
  <c r="H38" i="8"/>
  <c r="D40" i="8"/>
  <c r="G39" i="8"/>
  <c r="L31" i="8"/>
  <c r="M31" i="8" s="1"/>
  <c r="N31" i="8"/>
  <c r="G26" i="10"/>
  <c r="J26" i="10"/>
  <c r="K26" i="10" s="1"/>
  <c r="J27" i="10"/>
  <c r="J32" i="8"/>
  <c r="K32" i="8" s="1"/>
  <c r="D28" i="10"/>
  <c r="E27" i="10"/>
  <c r="H45" i="13"/>
  <c r="G46" i="13"/>
  <c r="E30" i="8"/>
  <c r="H34" i="17" l="1"/>
  <c r="J33" i="17"/>
  <c r="L24" i="17"/>
  <c r="M24" i="17" s="1"/>
  <c r="O24" i="17" s="1"/>
  <c r="N23" i="17"/>
  <c r="I26" i="17"/>
  <c r="K25" i="17"/>
  <c r="H39" i="8"/>
  <c r="L26" i="10"/>
  <c r="K27" i="10"/>
  <c r="G40" i="8"/>
  <c r="D41" i="8"/>
  <c r="G27" i="10"/>
  <c r="H26" i="10"/>
  <c r="I26" i="10" s="1"/>
  <c r="N26" i="10"/>
  <c r="L32" i="8"/>
  <c r="M32" i="8" s="1"/>
  <c r="N32" i="8"/>
  <c r="J28" i="10"/>
  <c r="E31" i="8"/>
  <c r="E28" i="10"/>
  <c r="D29" i="10"/>
  <c r="J33" i="8"/>
  <c r="K33" i="8" s="1"/>
  <c r="H46" i="13"/>
  <c r="G47" i="13"/>
  <c r="M26" i="10" l="1"/>
  <c r="H35" i="17"/>
  <c r="J34" i="17"/>
  <c r="L25" i="17"/>
  <c r="M25" i="17" s="1"/>
  <c r="I27" i="17"/>
  <c r="K26" i="17"/>
  <c r="N24" i="17"/>
  <c r="H40" i="8"/>
  <c r="L33" i="8"/>
  <c r="M33" i="8" s="1"/>
  <c r="N33" i="8"/>
  <c r="J29" i="10"/>
  <c r="G28" i="10"/>
  <c r="H27" i="10"/>
  <c r="I27" i="10" s="1"/>
  <c r="N27" i="10"/>
  <c r="D42" i="8"/>
  <c r="G41" i="8"/>
  <c r="L27" i="10"/>
  <c r="K28" i="10"/>
  <c r="D30" i="10"/>
  <c r="E29" i="10"/>
  <c r="J34" i="8"/>
  <c r="K34" i="8" s="1"/>
  <c r="H47" i="13"/>
  <c r="E32" i="8"/>
  <c r="H36" i="17" l="1"/>
  <c r="J35" i="17"/>
  <c r="M27" i="10"/>
  <c r="N25" i="17"/>
  <c r="I28" i="17"/>
  <c r="K27" i="17"/>
  <c r="O25" i="17"/>
  <c r="L26" i="17"/>
  <c r="M26" i="17" s="1"/>
  <c r="O26" i="17" s="1"/>
  <c r="H41" i="8"/>
  <c r="L28" i="10"/>
  <c r="K29" i="10"/>
  <c r="J30" i="10"/>
  <c r="D43" i="8"/>
  <c r="G42" i="8"/>
  <c r="L34" i="8"/>
  <c r="M34" i="8" s="1"/>
  <c r="N34" i="8"/>
  <c r="G29" i="10"/>
  <c r="H28" i="10"/>
  <c r="I28" i="10" s="1"/>
  <c r="N28" i="10"/>
  <c r="E33" i="8"/>
  <c r="D31" i="10"/>
  <c r="E30" i="10"/>
  <c r="J35" i="8"/>
  <c r="K35" i="8" s="1"/>
  <c r="H37" i="17" l="1"/>
  <c r="J36" i="17"/>
  <c r="I29" i="17"/>
  <c r="K28" i="17"/>
  <c r="N26" i="17"/>
  <c r="L27" i="17"/>
  <c r="M27" i="17" s="1"/>
  <c r="O27" i="17" s="1"/>
  <c r="H42" i="8"/>
  <c r="G30" i="10"/>
  <c r="H29" i="10"/>
  <c r="I29" i="10" s="1"/>
  <c r="N29" i="10"/>
  <c r="J31" i="10"/>
  <c r="L29" i="10"/>
  <c r="K30" i="10"/>
  <c r="D44" i="8"/>
  <c r="G43" i="8"/>
  <c r="L35" i="8"/>
  <c r="M35" i="8" s="1"/>
  <c r="N35" i="8"/>
  <c r="M28" i="10"/>
  <c r="J36" i="8"/>
  <c r="K36" i="8" s="1"/>
  <c r="E34" i="8"/>
  <c r="E31" i="10"/>
  <c r="D32" i="10"/>
  <c r="H38" i="17" l="1"/>
  <c r="J37" i="17"/>
  <c r="N27" i="17"/>
  <c r="L28" i="17"/>
  <c r="M28" i="17" s="1"/>
  <c r="O28" i="17" s="1"/>
  <c r="I30" i="17"/>
  <c r="K29" i="17"/>
  <c r="H43" i="8"/>
  <c r="D45" i="8"/>
  <c r="G44" i="8"/>
  <c r="J32" i="10"/>
  <c r="L36" i="8"/>
  <c r="M36" i="8" s="1"/>
  <c r="N36" i="8"/>
  <c r="G31" i="10"/>
  <c r="H30" i="10"/>
  <c r="I30" i="10" s="1"/>
  <c r="N30" i="10"/>
  <c r="L30" i="10"/>
  <c r="K31" i="10"/>
  <c r="M29" i="10"/>
  <c r="E35" i="8"/>
  <c r="J37" i="8"/>
  <c r="K37" i="8" s="1"/>
  <c r="D33" i="10"/>
  <c r="E32" i="10"/>
  <c r="H39" i="17" l="1"/>
  <c r="J38" i="17"/>
  <c r="L29" i="17"/>
  <c r="M29" i="17" s="1"/>
  <c r="O29" i="17" s="1"/>
  <c r="I31" i="17"/>
  <c r="K30" i="17"/>
  <c r="N28" i="17"/>
  <c r="M30" i="10"/>
  <c r="H44" i="8"/>
  <c r="J33" i="10"/>
  <c r="D46" i="8"/>
  <c r="G45" i="8"/>
  <c r="G32" i="10"/>
  <c r="H31" i="10"/>
  <c r="I31" i="10" s="1"/>
  <c r="N31" i="10"/>
  <c r="L31" i="10"/>
  <c r="K32" i="10"/>
  <c r="L37" i="8"/>
  <c r="M37" i="8" s="1"/>
  <c r="E36" i="8"/>
  <c r="E33" i="10"/>
  <c r="D34" i="10"/>
  <c r="J38" i="8"/>
  <c r="K38" i="8" s="1"/>
  <c r="H40" i="17" l="1"/>
  <c r="J39" i="17"/>
  <c r="I32" i="17"/>
  <c r="K31" i="17"/>
  <c r="L30" i="17"/>
  <c r="M30" i="17" s="1"/>
  <c r="O30" i="17" s="1"/>
  <c r="N29" i="17"/>
  <c r="H45" i="8"/>
  <c r="G33" i="10"/>
  <c r="H32" i="10"/>
  <c r="I32" i="10" s="1"/>
  <c r="N32" i="10"/>
  <c r="D47" i="8"/>
  <c r="G46" i="8"/>
  <c r="J34" i="10"/>
  <c r="M31" i="10"/>
  <c r="L32" i="10"/>
  <c r="K33" i="10"/>
  <c r="L38" i="8"/>
  <c r="N37" i="8"/>
  <c r="E37" i="8"/>
  <c r="E34" i="10"/>
  <c r="D35" i="10"/>
  <c r="J39" i="8"/>
  <c r="K39" i="8" s="1"/>
  <c r="H41" i="17" l="1"/>
  <c r="J40" i="17"/>
  <c r="M32" i="10"/>
  <c r="N30" i="17"/>
  <c r="L31" i="17"/>
  <c r="M31" i="17" s="1"/>
  <c r="I33" i="17"/>
  <c r="K32" i="17"/>
  <c r="H46" i="8"/>
  <c r="J35" i="10"/>
  <c r="D48" i="8"/>
  <c r="D49" i="8" s="1"/>
  <c r="D50" i="8" s="1"/>
  <c r="D51" i="8" s="1"/>
  <c r="D52" i="8" s="1"/>
  <c r="D53" i="8" s="1"/>
  <c r="D54" i="8" s="1"/>
  <c r="D55" i="8" s="1"/>
  <c r="D56" i="8" s="1"/>
  <c r="D57" i="8" s="1"/>
  <c r="D58" i="8" s="1"/>
  <c r="D59" i="8" s="1"/>
  <c r="G47" i="8"/>
  <c r="G34" i="10"/>
  <c r="H33" i="10"/>
  <c r="I33" i="10" s="1"/>
  <c r="N33" i="10"/>
  <c r="L33" i="10"/>
  <c r="K34" i="10"/>
  <c r="L39" i="8"/>
  <c r="N38" i="8"/>
  <c r="E38" i="8"/>
  <c r="I38" i="8" s="1"/>
  <c r="M38" i="8" s="1"/>
  <c r="J40" i="8"/>
  <c r="K40" i="8" s="1"/>
  <c r="D36" i="10"/>
  <c r="E35" i="10"/>
  <c r="H42" i="17" l="1"/>
  <c r="J41" i="17"/>
  <c r="L32" i="17"/>
  <c r="M32" i="17" s="1"/>
  <c r="N31" i="17"/>
  <c r="I34" i="17"/>
  <c r="K33" i="17"/>
  <c r="O31" i="17"/>
  <c r="H47" i="8"/>
  <c r="M33" i="10"/>
  <c r="G35" i="10"/>
  <c r="H34" i="10"/>
  <c r="I34" i="10" s="1"/>
  <c r="N34" i="10"/>
  <c r="J36" i="10"/>
  <c r="L34" i="10"/>
  <c r="K35" i="10"/>
  <c r="L40" i="8"/>
  <c r="J41" i="8"/>
  <c r="K41" i="8" s="1"/>
  <c r="D37" i="10"/>
  <c r="J37" i="10" s="1"/>
  <c r="E36" i="10"/>
  <c r="N39" i="8"/>
  <c r="E39" i="8"/>
  <c r="I39" i="8" s="1"/>
  <c r="M39" i="8" s="1"/>
  <c r="O32" i="17" l="1"/>
  <c r="H43" i="17"/>
  <c r="J42" i="17"/>
  <c r="I35" i="17"/>
  <c r="K34" i="17"/>
  <c r="L33" i="17"/>
  <c r="M33" i="17" s="1"/>
  <c r="O33" i="17" s="1"/>
  <c r="N32" i="17"/>
  <c r="L35" i="10"/>
  <c r="K36" i="10"/>
  <c r="M34" i="10"/>
  <c r="G36" i="10"/>
  <c r="H35" i="10"/>
  <c r="I35" i="10" s="1"/>
  <c r="N35" i="10"/>
  <c r="L41" i="8"/>
  <c r="D38" i="10"/>
  <c r="J38" i="10" s="1"/>
  <c r="E37" i="10"/>
  <c r="J42" i="8"/>
  <c r="K42" i="8" s="1"/>
  <c r="N40" i="8"/>
  <c r="E40" i="8"/>
  <c r="I40" i="8" s="1"/>
  <c r="M40" i="8" s="1"/>
  <c r="H44" i="17" l="1"/>
  <c r="J43" i="17"/>
  <c r="L34" i="17"/>
  <c r="M34" i="17" s="1"/>
  <c r="O34" i="17" s="1"/>
  <c r="I36" i="17"/>
  <c r="K35" i="17"/>
  <c r="N33" i="17"/>
  <c r="M35" i="10"/>
  <c r="G37" i="10"/>
  <c r="H36" i="10"/>
  <c r="I36" i="10" s="1"/>
  <c r="N36" i="10"/>
  <c r="L36" i="10"/>
  <c r="K37" i="10"/>
  <c r="L42" i="8"/>
  <c r="J43" i="8"/>
  <c r="K43" i="8" s="1"/>
  <c r="N41" i="8"/>
  <c r="E41" i="8"/>
  <c r="I41" i="8" s="1"/>
  <c r="M41" i="8" s="1"/>
  <c r="D39" i="10"/>
  <c r="J39" i="10" s="1"/>
  <c r="E38" i="10"/>
  <c r="H45" i="17" l="1"/>
  <c r="J45" i="17" s="1"/>
  <c r="J44" i="17"/>
  <c r="I37" i="17"/>
  <c r="K36" i="17"/>
  <c r="L35" i="17"/>
  <c r="M35" i="17" s="1"/>
  <c r="O35" i="17" s="1"/>
  <c r="N34" i="17"/>
  <c r="K38" i="10"/>
  <c r="L37" i="10"/>
  <c r="M36" i="10"/>
  <c r="H37" i="10"/>
  <c r="I37" i="10" s="1"/>
  <c r="G38" i="10"/>
  <c r="N37" i="10"/>
  <c r="L43" i="8"/>
  <c r="J44" i="8"/>
  <c r="K44" i="8" s="1"/>
  <c r="D40" i="10"/>
  <c r="J40" i="10" s="1"/>
  <c r="E39" i="10"/>
  <c r="N42" i="8"/>
  <c r="E42" i="8"/>
  <c r="I42" i="8" s="1"/>
  <c r="M42" i="8" s="1"/>
  <c r="I38" i="17" l="1"/>
  <c r="K37" i="17"/>
  <c r="L36" i="17"/>
  <c r="M36" i="17" s="1"/>
  <c r="N35" i="17"/>
  <c r="G39" i="10"/>
  <c r="H38" i="10"/>
  <c r="I38" i="10" s="1"/>
  <c r="N38" i="10"/>
  <c r="M37" i="10"/>
  <c r="L38" i="10"/>
  <c r="K39" i="10"/>
  <c r="L44" i="8"/>
  <c r="J45" i="8"/>
  <c r="K45" i="8" s="1"/>
  <c r="N43" i="8"/>
  <c r="E43" i="8"/>
  <c r="I43" i="8" s="1"/>
  <c r="M43" i="8" s="1"/>
  <c r="D41" i="10"/>
  <c r="J41" i="10" s="1"/>
  <c r="E40" i="10"/>
  <c r="M38" i="10" l="1"/>
  <c r="N36" i="17"/>
  <c r="I39" i="17"/>
  <c r="K38" i="17"/>
  <c r="O36" i="17"/>
  <c r="L37" i="17"/>
  <c r="M37" i="17" s="1"/>
  <c r="O37" i="17" s="1"/>
  <c r="K40" i="10"/>
  <c r="L39" i="10"/>
  <c r="G40" i="10"/>
  <c r="H39" i="10"/>
  <c r="I39" i="10" s="1"/>
  <c r="N39" i="10"/>
  <c r="L45" i="8"/>
  <c r="N44" i="8"/>
  <c r="E44" i="8"/>
  <c r="I44" i="8" s="1"/>
  <c r="M44" i="8" s="1"/>
  <c r="J46" i="8"/>
  <c r="K46" i="8" s="1"/>
  <c r="D42" i="10"/>
  <c r="J42" i="10" s="1"/>
  <c r="E41" i="10"/>
  <c r="N37" i="17" l="1"/>
  <c r="I40" i="17"/>
  <c r="K39" i="17"/>
  <c r="L38" i="17"/>
  <c r="M38" i="17" s="1"/>
  <c r="G41" i="10"/>
  <c r="H40" i="10"/>
  <c r="I40" i="10" s="1"/>
  <c r="N40" i="10"/>
  <c r="M39" i="10"/>
  <c r="K41" i="10"/>
  <c r="L40" i="10"/>
  <c r="L46" i="8"/>
  <c r="D43" i="10"/>
  <c r="J43" i="10" s="1"/>
  <c r="E42" i="10"/>
  <c r="N45" i="8"/>
  <c r="E45" i="8"/>
  <c r="I45" i="8" s="1"/>
  <c r="M45" i="8" s="1"/>
  <c r="J47" i="8"/>
  <c r="K47" i="8" s="1"/>
  <c r="M40" i="10" l="1"/>
  <c r="L39" i="17"/>
  <c r="M39" i="17" s="1"/>
  <c r="O39" i="17" s="1"/>
  <c r="I41" i="17"/>
  <c r="K40" i="17"/>
  <c r="N38" i="17"/>
  <c r="O38" i="17"/>
  <c r="L41" i="10"/>
  <c r="K42" i="10"/>
  <c r="G42" i="10"/>
  <c r="H41" i="10"/>
  <c r="I41" i="10" s="1"/>
  <c r="N41" i="10"/>
  <c r="L47" i="8"/>
  <c r="N46" i="8"/>
  <c r="E46" i="8"/>
  <c r="I46" i="8" s="1"/>
  <c r="M46" i="8" s="1"/>
  <c r="D44" i="10"/>
  <c r="J44" i="10" s="1"/>
  <c r="E43" i="10"/>
  <c r="L40" i="17" l="1"/>
  <c r="M40" i="17" s="1"/>
  <c r="O40" i="17" s="1"/>
  <c r="I42" i="17"/>
  <c r="K41" i="17"/>
  <c r="N39" i="17"/>
  <c r="G43" i="10"/>
  <c r="H42" i="10"/>
  <c r="I42" i="10" s="1"/>
  <c r="N42" i="10"/>
  <c r="K43" i="10"/>
  <c r="L42" i="10"/>
  <c r="M41" i="10"/>
  <c r="D45" i="10"/>
  <c r="J45" i="10" s="1"/>
  <c r="E44" i="10"/>
  <c r="N47" i="8"/>
  <c r="E47" i="8"/>
  <c r="I47" i="8" s="1"/>
  <c r="M47" i="8" s="1"/>
  <c r="M42" i="10" l="1"/>
  <c r="L41" i="17"/>
  <c r="M41" i="17" s="1"/>
  <c r="O41" i="17"/>
  <c r="I43" i="17"/>
  <c r="K42" i="17"/>
  <c r="N40" i="17"/>
  <c r="L43" i="10"/>
  <c r="K44" i="10"/>
  <c r="G44" i="10"/>
  <c r="H43" i="10"/>
  <c r="I43" i="10" s="1"/>
  <c r="N43" i="10"/>
  <c r="D46" i="10"/>
  <c r="J46" i="10" s="1"/>
  <c r="E45" i="10"/>
  <c r="F48" i="8"/>
  <c r="E48" i="8"/>
  <c r="I44" i="17" l="1"/>
  <c r="C51" i="17" s="1"/>
  <c r="K43" i="17"/>
  <c r="L42" i="17"/>
  <c r="M42" i="17" s="1"/>
  <c r="O42" i="17" s="1"/>
  <c r="N41" i="17"/>
  <c r="G45" i="10"/>
  <c r="H44" i="10"/>
  <c r="I44" i="10" s="1"/>
  <c r="N44" i="10"/>
  <c r="L44" i="10"/>
  <c r="K45" i="10"/>
  <c r="M43" i="10"/>
  <c r="D47" i="10"/>
  <c r="J47" i="10" s="1"/>
  <c r="E46" i="10"/>
  <c r="F49" i="8"/>
  <c r="J49" i="8" s="1"/>
  <c r="E49" i="8"/>
  <c r="J48" i="8"/>
  <c r="K48" i="8" s="1"/>
  <c r="G48" i="8"/>
  <c r="M44" i="10" l="1"/>
  <c r="I45" i="17"/>
  <c r="K44" i="17"/>
  <c r="C8" i="3"/>
  <c r="G8" i="3" s="1"/>
  <c r="N42" i="17"/>
  <c r="L43" i="17"/>
  <c r="M43" i="17" s="1"/>
  <c r="O43" i="17" s="1"/>
  <c r="K46" i="10"/>
  <c r="L45" i="10"/>
  <c r="G46" i="10"/>
  <c r="H45" i="10"/>
  <c r="I45" i="10" s="1"/>
  <c r="N45" i="10"/>
  <c r="D48" i="10"/>
  <c r="E47" i="10"/>
  <c r="K49" i="8"/>
  <c r="L48" i="8"/>
  <c r="F50" i="8"/>
  <c r="E50" i="8"/>
  <c r="G49" i="8"/>
  <c r="H48" i="8"/>
  <c r="I48" i="8" s="1"/>
  <c r="N48" i="8"/>
  <c r="K45" i="17" l="1"/>
  <c r="L44" i="17"/>
  <c r="M44" i="17" s="1"/>
  <c r="C52" i="17" s="1"/>
  <c r="N43" i="17"/>
  <c r="M45" i="10"/>
  <c r="K47" i="10"/>
  <c r="L47" i="10" s="1"/>
  <c r="L46" i="10"/>
  <c r="G47" i="10"/>
  <c r="H46" i="10"/>
  <c r="I46" i="10" s="1"/>
  <c r="N46" i="10"/>
  <c r="G50" i="8"/>
  <c r="H49" i="8"/>
  <c r="N49" i="8"/>
  <c r="M48" i="8"/>
  <c r="J50" i="8"/>
  <c r="K50" i="8" s="1"/>
  <c r="D49" i="10"/>
  <c r="F48" i="10"/>
  <c r="E48" i="10"/>
  <c r="L49" i="8"/>
  <c r="F51" i="8"/>
  <c r="J51" i="8" s="1"/>
  <c r="E51" i="8"/>
  <c r="N44" i="17" l="1"/>
  <c r="C9" i="3"/>
  <c r="G9" i="3" s="1"/>
  <c r="O44" i="17"/>
  <c r="L45" i="17"/>
  <c r="M45" i="17" s="1"/>
  <c r="H47" i="10"/>
  <c r="I47" i="10" s="1"/>
  <c r="M47" i="10" s="1"/>
  <c r="N47" i="10"/>
  <c r="M46" i="10"/>
  <c r="K51" i="8"/>
  <c r="L50" i="8"/>
  <c r="I49" i="8"/>
  <c r="M49" i="8" s="1"/>
  <c r="D50" i="10"/>
  <c r="F49" i="10"/>
  <c r="J49" i="10" s="1"/>
  <c r="E49" i="10"/>
  <c r="F52" i="8"/>
  <c r="E52" i="8"/>
  <c r="J48" i="10"/>
  <c r="K48" i="10" s="1"/>
  <c r="G48" i="10"/>
  <c r="G51" i="8"/>
  <c r="H50" i="8"/>
  <c r="I50" i="8" s="1"/>
  <c r="N50" i="8"/>
  <c r="N45" i="17" l="1"/>
  <c r="C10" i="3"/>
  <c r="G10" i="3" s="1"/>
  <c r="O45" i="17"/>
  <c r="J52" i="8"/>
  <c r="K52" i="8" s="1"/>
  <c r="G49" i="10"/>
  <c r="H48" i="10"/>
  <c r="I48" i="10" s="1"/>
  <c r="N48" i="10"/>
  <c r="F53" i="8"/>
  <c r="E53" i="8"/>
  <c r="F50" i="10"/>
  <c r="D51" i="10"/>
  <c r="E50" i="10"/>
  <c r="G52" i="8"/>
  <c r="H51" i="8"/>
  <c r="I51" i="8" s="1"/>
  <c r="N51" i="8"/>
  <c r="K49" i="10"/>
  <c r="L48" i="10"/>
  <c r="M50" i="8"/>
  <c r="L51" i="8"/>
  <c r="H49" i="10" l="1"/>
  <c r="I49" i="10" s="1"/>
  <c r="G50" i="10"/>
  <c r="N49" i="10"/>
  <c r="F54" i="8"/>
  <c r="J54" i="8" s="1"/>
  <c r="E54" i="8"/>
  <c r="G53" i="8"/>
  <c r="H52" i="8"/>
  <c r="I52" i="8" s="1"/>
  <c r="N52" i="8"/>
  <c r="M51" i="8"/>
  <c r="M48" i="10"/>
  <c r="L49" i="10"/>
  <c r="D52" i="10"/>
  <c r="F51" i="10"/>
  <c r="J51" i="10" s="1"/>
  <c r="E51" i="10"/>
  <c r="J53" i="8"/>
  <c r="K53" i="8" s="1"/>
  <c r="L52" i="8"/>
  <c r="J50" i="10"/>
  <c r="K50" i="10" s="1"/>
  <c r="M52" i="8" l="1"/>
  <c r="K54" i="8"/>
  <c r="L53" i="8"/>
  <c r="F55" i="8"/>
  <c r="E55" i="8"/>
  <c r="G51" i="10"/>
  <c r="H50" i="10"/>
  <c r="I50" i="10" s="1"/>
  <c r="N50" i="10"/>
  <c r="K51" i="10"/>
  <c r="L50" i="10"/>
  <c r="D53" i="10"/>
  <c r="F52" i="10"/>
  <c r="E52" i="10"/>
  <c r="G54" i="8"/>
  <c r="H53" i="8"/>
  <c r="I53" i="8" s="1"/>
  <c r="N53" i="8"/>
  <c r="M49" i="10"/>
  <c r="M50" i="10" l="1"/>
  <c r="J52" i="10"/>
  <c r="K52" i="10" s="1"/>
  <c r="F53" i="10"/>
  <c r="J53" i="10" s="1"/>
  <c r="D54" i="10"/>
  <c r="E53" i="10"/>
  <c r="F56" i="8"/>
  <c r="J56" i="8" s="1"/>
  <c r="E56" i="8"/>
  <c r="J55" i="8"/>
  <c r="K55" i="8" s="1"/>
  <c r="G55" i="8"/>
  <c r="H54" i="8"/>
  <c r="I54" i="8" s="1"/>
  <c r="N54" i="8"/>
  <c r="M53" i="8"/>
  <c r="L51" i="10"/>
  <c r="G52" i="10"/>
  <c r="H51" i="10"/>
  <c r="I51" i="10" s="1"/>
  <c r="N51" i="10"/>
  <c r="L54" i="8"/>
  <c r="M54" i="8" l="1"/>
  <c r="M51" i="10"/>
  <c r="K56" i="8"/>
  <c r="L55" i="8"/>
  <c r="G53" i="10"/>
  <c r="H52" i="10"/>
  <c r="I52" i="10" s="1"/>
  <c r="N52" i="10"/>
  <c r="F57" i="8"/>
  <c r="E57" i="8"/>
  <c r="D55" i="10"/>
  <c r="F54" i="10"/>
  <c r="J54" i="10" s="1"/>
  <c r="E54" i="10"/>
  <c r="K53" i="10"/>
  <c r="L52" i="10"/>
  <c r="G56" i="8"/>
  <c r="H55" i="8"/>
  <c r="I55" i="8" s="1"/>
  <c r="N55" i="8"/>
  <c r="M52" i="10" l="1"/>
  <c r="F58" i="8"/>
  <c r="J58" i="8" s="1"/>
  <c r="E58" i="8"/>
  <c r="G54" i="10"/>
  <c r="H53" i="10"/>
  <c r="I53" i="10" s="1"/>
  <c r="N53" i="10"/>
  <c r="G57" i="8"/>
  <c r="H56" i="8"/>
  <c r="I56" i="8" s="1"/>
  <c r="N56" i="8"/>
  <c r="K54" i="10"/>
  <c r="L53" i="10"/>
  <c r="M55" i="8"/>
  <c r="L56" i="8"/>
  <c r="F55" i="10"/>
  <c r="D56" i="10"/>
  <c r="E55" i="10"/>
  <c r="J57" i="8"/>
  <c r="K57" i="8" s="1"/>
  <c r="M56" i="8" l="1"/>
  <c r="M53" i="10"/>
  <c r="K58" i="8"/>
  <c r="L57" i="8"/>
  <c r="D57" i="10"/>
  <c r="F56" i="10"/>
  <c r="J56" i="10" s="1"/>
  <c r="E56" i="10"/>
  <c r="J55" i="10"/>
  <c r="K55" i="10" s="1"/>
  <c r="L54" i="10"/>
  <c r="G58" i="8"/>
  <c r="H57" i="8"/>
  <c r="I57" i="8" s="1"/>
  <c r="N57" i="8"/>
  <c r="D60" i="8"/>
  <c r="F59" i="8"/>
  <c r="E59" i="8"/>
  <c r="C13" i="3" s="1"/>
  <c r="G13" i="3" s="1"/>
  <c r="G55" i="10"/>
  <c r="H54" i="10"/>
  <c r="I54" i="10" s="1"/>
  <c r="N54" i="10"/>
  <c r="J59" i="8" l="1"/>
  <c r="K59" i="8" s="1"/>
  <c r="F109" i="8"/>
  <c r="D6" i="22" s="1"/>
  <c r="M54" i="10"/>
  <c r="G56" i="10"/>
  <c r="H55" i="10"/>
  <c r="I55" i="10" s="1"/>
  <c r="N55" i="10"/>
  <c r="D58" i="10"/>
  <c r="F57" i="10"/>
  <c r="E57" i="10"/>
  <c r="M57" i="8"/>
  <c r="K56" i="10"/>
  <c r="L55" i="10"/>
  <c r="G59" i="8"/>
  <c r="H59" i="8" s="1"/>
  <c r="C15" i="3" s="1"/>
  <c r="G15" i="3" s="1"/>
  <c r="H58" i="8"/>
  <c r="I58" i="8" s="1"/>
  <c r="N58" i="8"/>
  <c r="D61" i="8"/>
  <c r="F60" i="8"/>
  <c r="J60" i="8" s="1"/>
  <c r="E60" i="8"/>
  <c r="L58" i="8"/>
  <c r="M55" i="10" l="1"/>
  <c r="K60" i="8"/>
  <c r="L59" i="8"/>
  <c r="C17" i="3" s="1"/>
  <c r="G17" i="3" s="1"/>
  <c r="G60" i="8"/>
  <c r="I59" i="8"/>
  <c r="N59" i="8"/>
  <c r="J57" i="10"/>
  <c r="K57" i="10" s="1"/>
  <c r="G57" i="10"/>
  <c r="H56" i="10"/>
  <c r="I56" i="10" s="1"/>
  <c r="N56" i="10"/>
  <c r="L56" i="10"/>
  <c r="F58" i="10"/>
  <c r="J58" i="10" s="1"/>
  <c r="D59" i="10"/>
  <c r="E58" i="10"/>
  <c r="F61" i="8"/>
  <c r="D62" i="8"/>
  <c r="E61" i="8"/>
  <c r="M58" i="8"/>
  <c r="M56" i="10" l="1"/>
  <c r="G61" i="8"/>
  <c r="H60" i="8"/>
  <c r="I60" i="8" s="1"/>
  <c r="N60" i="8"/>
  <c r="G58" i="10"/>
  <c r="H57" i="10"/>
  <c r="I57" i="10" s="1"/>
  <c r="N57" i="10"/>
  <c r="D60" i="10"/>
  <c r="F59" i="10"/>
  <c r="F111" i="10" s="1"/>
  <c r="E59" i="10"/>
  <c r="K58" i="10"/>
  <c r="L57" i="10"/>
  <c r="D63" i="8"/>
  <c r="F62" i="8"/>
  <c r="E62" i="8"/>
  <c r="M59" i="8"/>
  <c r="E6" i="22" s="1"/>
  <c r="J61" i="8"/>
  <c r="K61" i="8" s="1"/>
  <c r="L60" i="8"/>
  <c r="J59" i="10" l="1"/>
  <c r="D7" i="22"/>
  <c r="M57" i="10"/>
  <c r="K59" i="10"/>
  <c r="L58" i="10"/>
  <c r="G62" i="8"/>
  <c r="H61" i="8"/>
  <c r="N61" i="8"/>
  <c r="G59" i="10"/>
  <c r="H58" i="10"/>
  <c r="I58" i="10" s="1"/>
  <c r="N58" i="10"/>
  <c r="M60" i="8"/>
  <c r="J62" i="8"/>
  <c r="K62" i="8" s="1"/>
  <c r="D61" i="10"/>
  <c r="F60" i="10"/>
  <c r="E60" i="10"/>
  <c r="L61" i="8"/>
  <c r="D64" i="8"/>
  <c r="F63" i="8"/>
  <c r="J63" i="8" s="1"/>
  <c r="E63" i="8"/>
  <c r="J60" i="10" l="1"/>
  <c r="K63" i="8"/>
  <c r="L62" i="8"/>
  <c r="I61" i="8"/>
  <c r="M61" i="8" s="1"/>
  <c r="G60" i="10"/>
  <c r="H59" i="10"/>
  <c r="I59" i="10" s="1"/>
  <c r="N59" i="10"/>
  <c r="F64" i="8"/>
  <c r="D65" i="8"/>
  <c r="E64" i="8"/>
  <c r="G63" i="8"/>
  <c r="H62" i="8"/>
  <c r="I62" i="8" s="1"/>
  <c r="N62" i="8"/>
  <c r="M58" i="10"/>
  <c r="D62" i="10"/>
  <c r="F61" i="10"/>
  <c r="E61" i="10"/>
  <c r="K60" i="10"/>
  <c r="L59" i="10"/>
  <c r="M59" i="10" l="1"/>
  <c r="E7" i="22" s="1"/>
  <c r="L60" i="10"/>
  <c r="G61" i="10"/>
  <c r="H60" i="10"/>
  <c r="I60" i="10" s="1"/>
  <c r="N60" i="10"/>
  <c r="G64" i="8"/>
  <c r="H63" i="8"/>
  <c r="I63" i="8" s="1"/>
  <c r="N63" i="8"/>
  <c r="J61" i="10"/>
  <c r="K61" i="10" s="1"/>
  <c r="M62" i="8"/>
  <c r="L63" i="8"/>
  <c r="D66" i="8"/>
  <c r="F65" i="8"/>
  <c r="J65" i="8" s="1"/>
  <c r="E65" i="8"/>
  <c r="J64" i="8"/>
  <c r="K64" i="8" s="1"/>
  <c r="D63" i="10"/>
  <c r="F62" i="10"/>
  <c r="E62" i="10"/>
  <c r="E14" i="22" l="1"/>
  <c r="M60" i="10"/>
  <c r="K65" i="8"/>
  <c r="L64" i="8"/>
  <c r="L61" i="10"/>
  <c r="G62" i="10"/>
  <c r="H61" i="10"/>
  <c r="I61" i="10" s="1"/>
  <c r="N61" i="10"/>
  <c r="G65" i="8"/>
  <c r="H64" i="8"/>
  <c r="I64" i="8" s="1"/>
  <c r="N64" i="8"/>
  <c r="F63" i="10"/>
  <c r="J63" i="10" s="1"/>
  <c r="D64" i="10"/>
  <c r="E63" i="10"/>
  <c r="J62" i="10"/>
  <c r="K62" i="10" s="1"/>
  <c r="M63" i="8"/>
  <c r="D67" i="8"/>
  <c r="F66" i="8"/>
  <c r="E66" i="8"/>
  <c r="M61" i="10" l="1"/>
  <c r="G63" i="10"/>
  <c r="H62" i="10"/>
  <c r="I62" i="10" s="1"/>
  <c r="N62" i="10"/>
  <c r="K63" i="10"/>
  <c r="L62" i="10"/>
  <c r="D65" i="10"/>
  <c r="F64" i="10"/>
  <c r="E64" i="10"/>
  <c r="M64" i="8"/>
  <c r="G66" i="8"/>
  <c r="H65" i="8"/>
  <c r="I65" i="8" s="1"/>
  <c r="N65" i="8"/>
  <c r="D68" i="8"/>
  <c r="F67" i="8"/>
  <c r="J67" i="8" s="1"/>
  <c r="E67" i="8"/>
  <c r="L65" i="8"/>
  <c r="J66" i="8"/>
  <c r="K66" i="8" s="1"/>
  <c r="K67" i="8" l="1"/>
  <c r="L66" i="8"/>
  <c r="G67" i="8"/>
  <c r="H66" i="8"/>
  <c r="I66" i="8" s="1"/>
  <c r="N66" i="8"/>
  <c r="G64" i="10"/>
  <c r="H63" i="10"/>
  <c r="I63" i="10" s="1"/>
  <c r="N63" i="10"/>
  <c r="M62" i="10"/>
  <c r="D66" i="10"/>
  <c r="F65" i="10"/>
  <c r="J65" i="10" s="1"/>
  <c r="E65" i="10"/>
  <c r="D69" i="8"/>
  <c r="F68" i="8"/>
  <c r="E68" i="8"/>
  <c r="M65" i="8"/>
  <c r="J64" i="10"/>
  <c r="K64" i="10" s="1"/>
  <c r="L63" i="10"/>
  <c r="K65" i="10" l="1"/>
  <c r="L64" i="10"/>
  <c r="F69" i="8"/>
  <c r="J69" i="8" s="1"/>
  <c r="D70" i="8"/>
  <c r="E69" i="8"/>
  <c r="M63" i="10"/>
  <c r="M66" i="8"/>
  <c r="G68" i="8"/>
  <c r="H67" i="8"/>
  <c r="I67" i="8" s="1"/>
  <c r="N67" i="8"/>
  <c r="F66" i="10"/>
  <c r="J66" i="10" s="1"/>
  <c r="D67" i="10"/>
  <c r="E66" i="10"/>
  <c r="G65" i="10"/>
  <c r="H64" i="10"/>
  <c r="I64" i="10" s="1"/>
  <c r="N64" i="10"/>
  <c r="J68" i="8"/>
  <c r="K68" i="8" s="1"/>
  <c r="L67" i="8"/>
  <c r="M64" i="10" l="1"/>
  <c r="K69" i="8"/>
  <c r="L68" i="8"/>
  <c r="G66" i="10"/>
  <c r="H65" i="10"/>
  <c r="I65" i="10" s="1"/>
  <c r="N65" i="10"/>
  <c r="G69" i="8"/>
  <c r="H68" i="8"/>
  <c r="I68" i="8" s="1"/>
  <c r="N68" i="8"/>
  <c r="M67" i="8"/>
  <c r="K66" i="10"/>
  <c r="L65" i="10"/>
  <c r="D68" i="10"/>
  <c r="F67" i="10"/>
  <c r="J67" i="10" s="1"/>
  <c r="E67" i="10"/>
  <c r="D71" i="8"/>
  <c r="F70" i="8"/>
  <c r="E70" i="8"/>
  <c r="M65" i="10" l="1"/>
  <c r="G67" i="10"/>
  <c r="H66" i="10"/>
  <c r="I66" i="10" s="1"/>
  <c r="N66" i="10"/>
  <c r="G70" i="8"/>
  <c r="H69" i="8"/>
  <c r="I69" i="8" s="1"/>
  <c r="N69" i="8"/>
  <c r="J70" i="8"/>
  <c r="K70" i="8" s="1"/>
  <c r="M68" i="8"/>
  <c r="D72" i="8"/>
  <c r="F71" i="8"/>
  <c r="J71" i="8" s="1"/>
  <c r="E71" i="8"/>
  <c r="K67" i="10"/>
  <c r="L66" i="10"/>
  <c r="L69" i="8"/>
  <c r="D69" i="10"/>
  <c r="F68" i="10"/>
  <c r="E68" i="10"/>
  <c r="M66" i="10" l="1"/>
  <c r="K71" i="8"/>
  <c r="L70" i="8"/>
  <c r="F69" i="10"/>
  <c r="J69" i="10" s="1"/>
  <c r="D70" i="10"/>
  <c r="E69" i="10"/>
  <c r="G71" i="8"/>
  <c r="H70" i="8"/>
  <c r="I70" i="8" s="1"/>
  <c r="N70" i="8"/>
  <c r="G68" i="10"/>
  <c r="H67" i="10"/>
  <c r="I67" i="10" s="1"/>
  <c r="N67" i="10"/>
  <c r="F72" i="8"/>
  <c r="J72" i="8" s="1"/>
  <c r="D73" i="8"/>
  <c r="E72" i="8"/>
  <c r="L67" i="10"/>
  <c r="J68" i="10"/>
  <c r="K68" i="10" s="1"/>
  <c r="M69" i="8"/>
  <c r="M70" i="8" l="1"/>
  <c r="M67" i="10"/>
  <c r="D71" i="10"/>
  <c r="F70" i="10"/>
  <c r="J70" i="10" s="1"/>
  <c r="E70" i="10"/>
  <c r="D74" i="8"/>
  <c r="F73" i="8"/>
  <c r="E73" i="8"/>
  <c r="K72" i="8"/>
  <c r="L71" i="8"/>
  <c r="G72" i="8"/>
  <c r="H71" i="8"/>
  <c r="I71" i="8" s="1"/>
  <c r="N71" i="8"/>
  <c r="K69" i="10"/>
  <c r="L68" i="10"/>
  <c r="G69" i="10"/>
  <c r="H68" i="10"/>
  <c r="I68" i="10" s="1"/>
  <c r="N68" i="10"/>
  <c r="M71" i="8" l="1"/>
  <c r="M68" i="10"/>
  <c r="F71" i="10"/>
  <c r="J71" i="10" s="1"/>
  <c r="D72" i="10"/>
  <c r="E71" i="10"/>
  <c r="G73" i="8"/>
  <c r="H72" i="8"/>
  <c r="I72" i="8" s="1"/>
  <c r="N72" i="8"/>
  <c r="L72" i="8"/>
  <c r="G70" i="10"/>
  <c r="H69" i="10"/>
  <c r="I69" i="10" s="1"/>
  <c r="N69" i="10"/>
  <c r="K70" i="10"/>
  <c r="L69" i="10"/>
  <c r="J73" i="8"/>
  <c r="K73" i="8" s="1"/>
  <c r="D75" i="8"/>
  <c r="F74" i="8"/>
  <c r="J74" i="8" s="1"/>
  <c r="E74" i="8"/>
  <c r="M72" i="8" l="1"/>
  <c r="M69" i="10"/>
  <c r="D73" i="10"/>
  <c r="F72" i="10"/>
  <c r="J72" i="10" s="1"/>
  <c r="E72" i="10"/>
  <c r="F75" i="8"/>
  <c r="J75" i="8" s="1"/>
  <c r="D76" i="8"/>
  <c r="E75" i="8"/>
  <c r="G71" i="10"/>
  <c r="H70" i="10"/>
  <c r="I70" i="10" s="1"/>
  <c r="N70" i="10"/>
  <c r="G74" i="8"/>
  <c r="H73" i="8"/>
  <c r="N73" i="8"/>
  <c r="K74" i="8"/>
  <c r="L73" i="8"/>
  <c r="K71" i="10"/>
  <c r="L70" i="10"/>
  <c r="M70" i="10" l="1"/>
  <c r="K72" i="10"/>
  <c r="L71" i="10"/>
  <c r="G72" i="10"/>
  <c r="H71" i="10"/>
  <c r="I71" i="10" s="1"/>
  <c r="N71" i="10"/>
  <c r="G75" i="8"/>
  <c r="H74" i="8"/>
  <c r="I74" i="8" s="1"/>
  <c r="N74" i="8"/>
  <c r="D77" i="8"/>
  <c r="F76" i="8"/>
  <c r="J76" i="8" s="1"/>
  <c r="E76" i="8"/>
  <c r="K75" i="8"/>
  <c r="L74" i="8"/>
  <c r="I73" i="8"/>
  <c r="M73" i="8" s="1"/>
  <c r="D74" i="10"/>
  <c r="F73" i="10"/>
  <c r="E73" i="10"/>
  <c r="M74" i="8" l="1"/>
  <c r="M71" i="10"/>
  <c r="G73" i="10"/>
  <c r="H72" i="10"/>
  <c r="I72" i="10" s="1"/>
  <c r="N72" i="10"/>
  <c r="L72" i="10"/>
  <c r="F77" i="8"/>
  <c r="J77" i="8" s="1"/>
  <c r="D78" i="8"/>
  <c r="E77" i="8"/>
  <c r="J73" i="10"/>
  <c r="K73" i="10" s="1"/>
  <c r="K76" i="8"/>
  <c r="L75" i="8"/>
  <c r="F74" i="10"/>
  <c r="J74" i="10" s="1"/>
  <c r="D75" i="10"/>
  <c r="E74" i="10"/>
  <c r="G76" i="8"/>
  <c r="H75" i="8"/>
  <c r="I75" i="8" s="1"/>
  <c r="N75" i="8"/>
  <c r="M72" i="10" l="1"/>
  <c r="K74" i="10"/>
  <c r="L73" i="10"/>
  <c r="D79" i="8"/>
  <c r="F78" i="8"/>
  <c r="J78" i="8" s="1"/>
  <c r="E78" i="8"/>
  <c r="G74" i="10"/>
  <c r="H73" i="10"/>
  <c r="I73" i="10" s="1"/>
  <c r="N73" i="10"/>
  <c r="M75" i="8"/>
  <c r="G77" i="8"/>
  <c r="H76" i="8"/>
  <c r="I76" i="8" s="1"/>
  <c r="N76" i="8"/>
  <c r="K77" i="8"/>
  <c r="L76" i="8"/>
  <c r="D76" i="10"/>
  <c r="F75" i="10"/>
  <c r="J75" i="10" s="1"/>
  <c r="E75" i="10"/>
  <c r="M76" i="8" l="1"/>
  <c r="M73" i="10"/>
  <c r="D77" i="10"/>
  <c r="F76" i="10"/>
  <c r="J76" i="10" s="1"/>
  <c r="E76" i="10"/>
  <c r="G78" i="8"/>
  <c r="H77" i="8"/>
  <c r="I77" i="8" s="1"/>
  <c r="N77" i="8"/>
  <c r="K78" i="8"/>
  <c r="L77" i="8"/>
  <c r="D80" i="8"/>
  <c r="F79" i="8"/>
  <c r="J79" i="8" s="1"/>
  <c r="E79" i="8"/>
  <c r="G75" i="10"/>
  <c r="H74" i="10"/>
  <c r="I74" i="10" s="1"/>
  <c r="N74" i="10"/>
  <c r="K75" i="10"/>
  <c r="L74" i="10"/>
  <c r="M77" i="8" l="1"/>
  <c r="K76" i="10"/>
  <c r="L75" i="10"/>
  <c r="K79" i="8"/>
  <c r="L78" i="8"/>
  <c r="D81" i="8"/>
  <c r="F80" i="8"/>
  <c r="J80" i="8" s="1"/>
  <c r="E80" i="8"/>
  <c r="D78" i="10"/>
  <c r="F77" i="10"/>
  <c r="J77" i="10" s="1"/>
  <c r="E77" i="10"/>
  <c r="G76" i="10"/>
  <c r="H75" i="10"/>
  <c r="I75" i="10" s="1"/>
  <c r="N75" i="10"/>
  <c r="G79" i="8"/>
  <c r="H78" i="8"/>
  <c r="I78" i="8" s="1"/>
  <c r="N78" i="8"/>
  <c r="M74" i="10"/>
  <c r="K77" i="10" l="1"/>
  <c r="L76" i="10"/>
  <c r="D82" i="8"/>
  <c r="F81" i="8"/>
  <c r="J81" i="8" s="1"/>
  <c r="E81" i="8"/>
  <c r="G77" i="10"/>
  <c r="H76" i="10"/>
  <c r="I76" i="10" s="1"/>
  <c r="N76" i="10"/>
  <c r="M78" i="8"/>
  <c r="G80" i="8"/>
  <c r="H79" i="8"/>
  <c r="I79" i="8" s="1"/>
  <c r="N79" i="8"/>
  <c r="D79" i="10"/>
  <c r="F78" i="10"/>
  <c r="J78" i="10" s="1"/>
  <c r="E78" i="10"/>
  <c r="K80" i="8"/>
  <c r="L79" i="8"/>
  <c r="M75" i="10"/>
  <c r="M79" i="8" l="1"/>
  <c r="G78" i="10"/>
  <c r="H77" i="10"/>
  <c r="I77" i="10" s="1"/>
  <c r="N77" i="10"/>
  <c r="K81" i="8"/>
  <c r="L80" i="8"/>
  <c r="G81" i="8"/>
  <c r="H80" i="8"/>
  <c r="I80" i="8" s="1"/>
  <c r="N80" i="8"/>
  <c r="K78" i="10"/>
  <c r="L77" i="10"/>
  <c r="F79" i="10"/>
  <c r="J79" i="10" s="1"/>
  <c r="D80" i="10"/>
  <c r="E79" i="10"/>
  <c r="M76" i="10"/>
  <c r="D83" i="8"/>
  <c r="F82" i="8"/>
  <c r="J82" i="8" s="1"/>
  <c r="E82" i="8"/>
  <c r="M77" i="10" l="1"/>
  <c r="M80" i="8"/>
  <c r="K79" i="10"/>
  <c r="L78" i="10"/>
  <c r="K82" i="8"/>
  <c r="L81" i="8"/>
  <c r="G79" i="10"/>
  <c r="H78" i="10"/>
  <c r="I78" i="10" s="1"/>
  <c r="N78" i="10"/>
  <c r="D81" i="10"/>
  <c r="F80" i="10"/>
  <c r="J80" i="10" s="1"/>
  <c r="E80" i="10"/>
  <c r="D84" i="8"/>
  <c r="F83" i="8"/>
  <c r="J83" i="8" s="1"/>
  <c r="E83" i="8"/>
  <c r="G82" i="8"/>
  <c r="H81" i="8"/>
  <c r="I81" i="8" s="1"/>
  <c r="N81" i="8"/>
  <c r="M78" i="10" l="1"/>
  <c r="D85" i="8"/>
  <c r="F84" i="8"/>
  <c r="J84" i="8" s="1"/>
  <c r="E84" i="8"/>
  <c r="G80" i="10"/>
  <c r="H79" i="10"/>
  <c r="I79" i="10" s="1"/>
  <c r="N79" i="10"/>
  <c r="M81" i="8"/>
  <c r="K83" i="8"/>
  <c r="L82" i="8"/>
  <c r="G83" i="8"/>
  <c r="H82" i="8"/>
  <c r="I82" i="8" s="1"/>
  <c r="N82" i="8"/>
  <c r="D82" i="10"/>
  <c r="F81" i="10"/>
  <c r="J81" i="10" s="1"/>
  <c r="E81" i="10"/>
  <c r="K80" i="10"/>
  <c r="L79" i="10"/>
  <c r="M82" i="8" l="1"/>
  <c r="M79" i="10"/>
  <c r="G84" i="8"/>
  <c r="H83" i="8"/>
  <c r="I83" i="8" s="1"/>
  <c r="N83" i="8"/>
  <c r="F82" i="10"/>
  <c r="J82" i="10" s="1"/>
  <c r="D83" i="10"/>
  <c r="E82" i="10"/>
  <c r="K84" i="8"/>
  <c r="L83" i="8"/>
  <c r="K81" i="10"/>
  <c r="L80" i="10"/>
  <c r="F85" i="8"/>
  <c r="J85" i="8" s="1"/>
  <c r="D86" i="8"/>
  <c r="E85" i="8"/>
  <c r="G81" i="10"/>
  <c r="H80" i="10"/>
  <c r="I80" i="10" s="1"/>
  <c r="N80" i="10"/>
  <c r="M83" i="8" l="1"/>
  <c r="K85" i="8"/>
  <c r="L84" i="8"/>
  <c r="D87" i="8"/>
  <c r="F86" i="8"/>
  <c r="J86" i="8" s="1"/>
  <c r="E86" i="8"/>
  <c r="M80" i="10"/>
  <c r="G85" i="8"/>
  <c r="H84" i="8"/>
  <c r="I84" i="8" s="1"/>
  <c r="N84" i="8"/>
  <c r="D84" i="10"/>
  <c r="F83" i="10"/>
  <c r="J83" i="10" s="1"/>
  <c r="E83" i="10"/>
  <c r="G82" i="10"/>
  <c r="H81" i="10"/>
  <c r="I81" i="10" s="1"/>
  <c r="N81" i="10"/>
  <c r="K82" i="10"/>
  <c r="L81" i="10"/>
  <c r="M84" i="8" l="1"/>
  <c r="D85" i="10"/>
  <c r="F84" i="10"/>
  <c r="J84" i="10" s="1"/>
  <c r="E84" i="10"/>
  <c r="K83" i="10"/>
  <c r="L82" i="10"/>
  <c r="D88" i="8"/>
  <c r="F87" i="8"/>
  <c r="J87" i="8" s="1"/>
  <c r="E87" i="8"/>
  <c r="K86" i="8"/>
  <c r="L85" i="8"/>
  <c r="G83" i="10"/>
  <c r="H82" i="10"/>
  <c r="I82" i="10" s="1"/>
  <c r="N82" i="10"/>
  <c r="G86" i="8"/>
  <c r="H85" i="8"/>
  <c r="I85" i="8" s="1"/>
  <c r="N85" i="8"/>
  <c r="M81" i="10"/>
  <c r="M85" i="8" l="1"/>
  <c r="D89" i="8"/>
  <c r="F88" i="8"/>
  <c r="J88" i="8" s="1"/>
  <c r="E88" i="8"/>
  <c r="K87" i="8"/>
  <c r="L86" i="8"/>
  <c r="G87" i="8"/>
  <c r="H86" i="8"/>
  <c r="I86" i="8" s="1"/>
  <c r="N86" i="8"/>
  <c r="D86" i="10"/>
  <c r="F85" i="10"/>
  <c r="J85" i="10" s="1"/>
  <c r="E85" i="10"/>
  <c r="K84" i="10"/>
  <c r="L83" i="10"/>
  <c r="G84" i="10"/>
  <c r="H83" i="10"/>
  <c r="I83" i="10" s="1"/>
  <c r="N83" i="10"/>
  <c r="M82" i="10"/>
  <c r="M86" i="8" l="1"/>
  <c r="G88" i="8"/>
  <c r="H87" i="8"/>
  <c r="I87" i="8" s="1"/>
  <c r="N87" i="8"/>
  <c r="G85" i="10"/>
  <c r="H84" i="10"/>
  <c r="I84" i="10" s="1"/>
  <c r="N84" i="10"/>
  <c r="K85" i="10"/>
  <c r="L84" i="10"/>
  <c r="M83" i="10"/>
  <c r="K88" i="8"/>
  <c r="L87" i="8"/>
  <c r="M87" i="8" s="1"/>
  <c r="D87" i="10"/>
  <c r="F86" i="10"/>
  <c r="J86" i="10" s="1"/>
  <c r="E86" i="10"/>
  <c r="D90" i="8"/>
  <c r="F89" i="8"/>
  <c r="J89" i="8" s="1"/>
  <c r="E89" i="8"/>
  <c r="M84" i="10" l="1"/>
  <c r="D91" i="8"/>
  <c r="F90" i="8"/>
  <c r="J90" i="8" s="1"/>
  <c r="E90" i="8"/>
  <c r="G86" i="10"/>
  <c r="H85" i="10"/>
  <c r="I85" i="10" s="1"/>
  <c r="N85" i="10"/>
  <c r="K89" i="8"/>
  <c r="L88" i="8"/>
  <c r="K86" i="10"/>
  <c r="L85" i="10"/>
  <c r="F87" i="10"/>
  <c r="J87" i="10" s="1"/>
  <c r="D88" i="10"/>
  <c r="E87" i="10"/>
  <c r="G89" i="8"/>
  <c r="H88" i="8"/>
  <c r="I88" i="8" s="1"/>
  <c r="N88" i="8"/>
  <c r="M85" i="10" l="1"/>
  <c r="G90" i="8"/>
  <c r="H89" i="8"/>
  <c r="I89" i="8" s="1"/>
  <c r="N89" i="8"/>
  <c r="K87" i="10"/>
  <c r="L86" i="10"/>
  <c r="M88" i="8"/>
  <c r="K90" i="8"/>
  <c r="L89" i="8"/>
  <c r="D92" i="8"/>
  <c r="F91" i="8"/>
  <c r="J91" i="8" s="1"/>
  <c r="E91" i="8"/>
  <c r="D89" i="10"/>
  <c r="F88" i="10"/>
  <c r="J88" i="10" s="1"/>
  <c r="E88" i="10"/>
  <c r="G87" i="10"/>
  <c r="H86" i="10"/>
  <c r="I86" i="10" s="1"/>
  <c r="N86" i="10"/>
  <c r="M89" i="8" l="1"/>
  <c r="D93" i="8"/>
  <c r="F92" i="8"/>
  <c r="J92" i="8" s="1"/>
  <c r="E92" i="8"/>
  <c r="K91" i="8"/>
  <c r="L90" i="8"/>
  <c r="D90" i="10"/>
  <c r="F89" i="10"/>
  <c r="J89" i="10" s="1"/>
  <c r="E89" i="10"/>
  <c r="G88" i="10"/>
  <c r="H87" i="10"/>
  <c r="I87" i="10" s="1"/>
  <c r="N87" i="10"/>
  <c r="M86" i="10"/>
  <c r="K88" i="10"/>
  <c r="L87" i="10"/>
  <c r="G91" i="8"/>
  <c r="H90" i="8"/>
  <c r="I90" i="8" s="1"/>
  <c r="N90" i="8"/>
  <c r="M87" i="10" l="1"/>
  <c r="K89" i="10"/>
  <c r="L88" i="10"/>
  <c r="G89" i="10"/>
  <c r="H88" i="10"/>
  <c r="I88" i="10" s="1"/>
  <c r="N88" i="10"/>
  <c r="G92" i="8"/>
  <c r="H91" i="8"/>
  <c r="I91" i="8" s="1"/>
  <c r="N91" i="8"/>
  <c r="F90" i="10"/>
  <c r="J90" i="10" s="1"/>
  <c r="D91" i="10"/>
  <c r="E90" i="10"/>
  <c r="M90" i="8"/>
  <c r="K92" i="8"/>
  <c r="L91" i="8"/>
  <c r="F93" i="8"/>
  <c r="J93" i="8" s="1"/>
  <c r="D94" i="8"/>
  <c r="E93" i="8"/>
  <c r="M88" i="10" l="1"/>
  <c r="D92" i="10"/>
  <c r="F91" i="10"/>
  <c r="J91" i="10" s="1"/>
  <c r="E91" i="10"/>
  <c r="D95" i="8"/>
  <c r="F94" i="8"/>
  <c r="J94" i="8" s="1"/>
  <c r="E94" i="8"/>
  <c r="M91" i="8"/>
  <c r="G90" i="10"/>
  <c r="H89" i="10"/>
  <c r="I89" i="10" s="1"/>
  <c r="N89" i="10"/>
  <c r="K93" i="8"/>
  <c r="L92" i="8"/>
  <c r="G93" i="8"/>
  <c r="H92" i="8"/>
  <c r="I92" i="8" s="1"/>
  <c r="N92" i="8"/>
  <c r="K90" i="10"/>
  <c r="L89" i="10"/>
  <c r="M89" i="10" l="1"/>
  <c r="K91" i="10"/>
  <c r="L90" i="10"/>
  <c r="G91" i="10"/>
  <c r="H90" i="10"/>
  <c r="I90" i="10" s="1"/>
  <c r="N90" i="10"/>
  <c r="D93" i="10"/>
  <c r="F92" i="10"/>
  <c r="J92" i="10" s="1"/>
  <c r="E92" i="10"/>
  <c r="G94" i="8"/>
  <c r="H93" i="8"/>
  <c r="I93" i="8" s="1"/>
  <c r="N93" i="8"/>
  <c r="M92" i="8"/>
  <c r="D96" i="8"/>
  <c r="F95" i="8"/>
  <c r="J95" i="8" s="1"/>
  <c r="E95" i="8"/>
  <c r="K94" i="8"/>
  <c r="L93" i="8"/>
  <c r="D97" i="8" l="1"/>
  <c r="D98" i="8" s="1"/>
  <c r="E96" i="8"/>
  <c r="M93" i="8"/>
  <c r="M90" i="10"/>
  <c r="D94" i="10"/>
  <c r="F93" i="10"/>
  <c r="J93" i="10" s="1"/>
  <c r="E93" i="10"/>
  <c r="G92" i="10"/>
  <c r="H91" i="10"/>
  <c r="I91" i="10" s="1"/>
  <c r="N91" i="10"/>
  <c r="G95" i="8"/>
  <c r="H94" i="8"/>
  <c r="I94" i="8" s="1"/>
  <c r="N94" i="8"/>
  <c r="K95" i="8"/>
  <c r="L94" i="8"/>
  <c r="K92" i="10"/>
  <c r="L91" i="10"/>
  <c r="E98" i="8" l="1"/>
  <c r="D99" i="8"/>
  <c r="M91" i="10"/>
  <c r="D95" i="10"/>
  <c r="F94" i="10"/>
  <c r="J94" i="10" s="1"/>
  <c r="E94" i="10"/>
  <c r="K93" i="10"/>
  <c r="L92" i="10"/>
  <c r="G96" i="8"/>
  <c r="H95" i="8"/>
  <c r="I95" i="8" s="1"/>
  <c r="N95" i="8"/>
  <c r="E97" i="8"/>
  <c r="M94" i="8"/>
  <c r="G93" i="10"/>
  <c r="H92" i="10"/>
  <c r="I92" i="10" s="1"/>
  <c r="N92" i="10"/>
  <c r="K96" i="8"/>
  <c r="L95" i="8"/>
  <c r="D100" i="8" l="1"/>
  <c r="E99" i="8"/>
  <c r="M95" i="8"/>
  <c r="M92" i="10"/>
  <c r="K94" i="10"/>
  <c r="L93" i="10"/>
  <c r="K97" i="8"/>
  <c r="L96" i="8"/>
  <c r="G94" i="10"/>
  <c r="H93" i="10"/>
  <c r="I93" i="10" s="1"/>
  <c r="N93" i="10"/>
  <c r="G97" i="8"/>
  <c r="G98" i="8" s="1"/>
  <c r="H96" i="8"/>
  <c r="I96" i="8" s="1"/>
  <c r="N96" i="8"/>
  <c r="F95" i="10"/>
  <c r="J95" i="10" s="1"/>
  <c r="D96" i="10"/>
  <c r="D97" i="10" s="1"/>
  <c r="E95" i="10"/>
  <c r="D98" i="10" l="1"/>
  <c r="E97" i="10"/>
  <c r="G99" i="8"/>
  <c r="H98" i="8"/>
  <c r="I98" i="8" s="1"/>
  <c r="D101" i="8"/>
  <c r="E100" i="8"/>
  <c r="L97" i="8"/>
  <c r="K98" i="8"/>
  <c r="N98" i="8" s="1"/>
  <c r="M96" i="8"/>
  <c r="E96" i="10"/>
  <c r="G95" i="10"/>
  <c r="H94" i="10"/>
  <c r="I94" i="10" s="1"/>
  <c r="N94" i="10"/>
  <c r="H97" i="8"/>
  <c r="I97" i="8" s="1"/>
  <c r="N97" i="8"/>
  <c r="M93" i="10"/>
  <c r="K95" i="10"/>
  <c r="L94" i="10"/>
  <c r="M97" i="8" l="1"/>
  <c r="E98" i="10"/>
  <c r="D99" i="10"/>
  <c r="D102" i="8"/>
  <c r="E101" i="8"/>
  <c r="G100" i="8"/>
  <c r="H99" i="8"/>
  <c r="I99" i="8" s="1"/>
  <c r="L98" i="8"/>
  <c r="M98" i="8" s="1"/>
  <c r="K99" i="8"/>
  <c r="N99" i="8" s="1"/>
  <c r="G96" i="10"/>
  <c r="G97" i="10" s="1"/>
  <c r="H95" i="10"/>
  <c r="I95" i="10" s="1"/>
  <c r="N95" i="10"/>
  <c r="M94" i="10"/>
  <c r="K96" i="10"/>
  <c r="K97" i="10" s="1"/>
  <c r="L95" i="10"/>
  <c r="H97" i="10" l="1"/>
  <c r="I97" i="10" s="1"/>
  <c r="G98" i="10"/>
  <c r="N97" i="10"/>
  <c r="D100" i="10"/>
  <c r="E99" i="10"/>
  <c r="K98" i="10"/>
  <c r="L97" i="10"/>
  <c r="M95" i="10"/>
  <c r="G101" i="8"/>
  <c r="H100" i="8"/>
  <c r="I100" i="8" s="1"/>
  <c r="D103" i="8"/>
  <c r="E102" i="8"/>
  <c r="L99" i="8"/>
  <c r="M99" i="8" s="1"/>
  <c r="K100" i="8"/>
  <c r="N100" i="8" s="1"/>
  <c r="L96" i="10"/>
  <c r="H96" i="10"/>
  <c r="I96" i="10" s="1"/>
  <c r="N96" i="10"/>
  <c r="M97" i="10" l="1"/>
  <c r="D101" i="10"/>
  <c r="E100" i="10"/>
  <c r="K99" i="10"/>
  <c r="L98" i="10"/>
  <c r="G99" i="10"/>
  <c r="H98" i="10"/>
  <c r="I98" i="10" s="1"/>
  <c r="M98" i="10" s="1"/>
  <c r="N98" i="10"/>
  <c r="E103" i="8"/>
  <c r="D104" i="8"/>
  <c r="G102" i="8"/>
  <c r="H101" i="8"/>
  <c r="I101" i="8" s="1"/>
  <c r="K101" i="8"/>
  <c r="N101" i="8" s="1"/>
  <c r="L100" i="8"/>
  <c r="M100" i="8" s="1"/>
  <c r="M96" i="10"/>
  <c r="G100" i="10" l="1"/>
  <c r="H99" i="10"/>
  <c r="I99" i="10" s="1"/>
  <c r="N99" i="10"/>
  <c r="K100" i="10"/>
  <c r="L99" i="10"/>
  <c r="M99" i="10" s="1"/>
  <c r="D102" i="10"/>
  <c r="E101" i="10"/>
  <c r="G103" i="8"/>
  <c r="H102" i="8"/>
  <c r="I102" i="8" s="1"/>
  <c r="D105" i="8"/>
  <c r="E104" i="8"/>
  <c r="K102" i="8"/>
  <c r="L101" i="8"/>
  <c r="M101" i="8" s="1"/>
  <c r="C6" i="4"/>
  <c r="E5" i="4"/>
  <c r="E4" i="4"/>
  <c r="E6" i="4" l="1"/>
  <c r="C23" i="3" s="1"/>
  <c r="G23" i="3" s="1"/>
  <c r="C24" i="3"/>
  <c r="G24" i="3" s="1"/>
  <c r="D103" i="10"/>
  <c r="E102" i="10"/>
  <c r="K101" i="10"/>
  <c r="L100" i="10"/>
  <c r="G101" i="10"/>
  <c r="H100" i="10"/>
  <c r="I100" i="10" s="1"/>
  <c r="N100" i="10"/>
  <c r="D106" i="8"/>
  <c r="E105" i="8"/>
  <c r="K103" i="8"/>
  <c r="L102" i="8"/>
  <c r="M102" i="8" s="1"/>
  <c r="N102" i="8"/>
  <c r="H103" i="8"/>
  <c r="I103" i="8" s="1"/>
  <c r="G104" i="8"/>
  <c r="D26" i="13"/>
  <c r="J27" i="13"/>
  <c r="J26" i="13"/>
  <c r="K26" i="13" s="1"/>
  <c r="M100" i="10" l="1"/>
  <c r="G102" i="10"/>
  <c r="H101" i="10"/>
  <c r="I101" i="10" s="1"/>
  <c r="N101" i="10"/>
  <c r="K102" i="10"/>
  <c r="L101" i="10"/>
  <c r="D104" i="10"/>
  <c r="E103" i="10"/>
  <c r="E106" i="8"/>
  <c r="D107" i="8"/>
  <c r="L103" i="8"/>
  <c r="M103" i="8" s="1"/>
  <c r="K104" i="8"/>
  <c r="N103" i="8"/>
  <c r="G105" i="8"/>
  <c r="H104" i="8"/>
  <c r="I104" i="8" s="1"/>
  <c r="L26" i="13"/>
  <c r="N26" i="13"/>
  <c r="E26" i="13"/>
  <c r="I26" i="13" s="1"/>
  <c r="K27" i="13"/>
  <c r="J28" i="13"/>
  <c r="D27" i="13"/>
  <c r="O27" i="13" l="1"/>
  <c r="D105" i="10"/>
  <c r="E104" i="10"/>
  <c r="M101" i="10"/>
  <c r="K103" i="10"/>
  <c r="L102" i="10"/>
  <c r="G103" i="10"/>
  <c r="H102" i="10"/>
  <c r="I102" i="10" s="1"/>
  <c r="N102" i="10"/>
  <c r="H105" i="8"/>
  <c r="I105" i="8" s="1"/>
  <c r="G106" i="8"/>
  <c r="K105" i="8"/>
  <c r="N105" i="8" s="1"/>
  <c r="L104" i="8"/>
  <c r="M104" i="8" s="1"/>
  <c r="E107" i="8"/>
  <c r="N104" i="8"/>
  <c r="M26" i="13"/>
  <c r="L27" i="13"/>
  <c r="N27" i="13"/>
  <c r="K28" i="13"/>
  <c r="E27" i="13"/>
  <c r="I27" i="13" s="1"/>
  <c r="D28" i="13"/>
  <c r="E28" i="13" s="1"/>
  <c r="I28" i="13" s="1"/>
  <c r="J29" i="13"/>
  <c r="K29" i="13" l="1"/>
  <c r="O28" i="13"/>
  <c r="N103" i="10"/>
  <c r="G104" i="10"/>
  <c r="H103" i="10"/>
  <c r="I103" i="10" s="1"/>
  <c r="K104" i="10"/>
  <c r="L103" i="10"/>
  <c r="M102" i="10"/>
  <c r="D106" i="10"/>
  <c r="E105" i="10"/>
  <c r="K106" i="8"/>
  <c r="N106" i="8" s="1"/>
  <c r="L105" i="8"/>
  <c r="M105" i="8" s="1"/>
  <c r="G107" i="8"/>
  <c r="H106" i="8"/>
  <c r="I106" i="8" s="1"/>
  <c r="M27" i="13"/>
  <c r="L28" i="13"/>
  <c r="M28" i="13" s="1"/>
  <c r="N28" i="13"/>
  <c r="L29" i="13"/>
  <c r="J30" i="13"/>
  <c r="K30" i="13" s="1"/>
  <c r="D29" i="13"/>
  <c r="E29" i="13" s="1"/>
  <c r="I29" i="13" s="1"/>
  <c r="O29" i="13" l="1"/>
  <c r="E106" i="10"/>
  <c r="D107" i="10"/>
  <c r="K105" i="10"/>
  <c r="L104" i="10"/>
  <c r="G105" i="10"/>
  <c r="H104" i="10"/>
  <c r="I104" i="10" s="1"/>
  <c r="M104" i="10" s="1"/>
  <c r="N104" i="10"/>
  <c r="M103" i="10"/>
  <c r="H107" i="8"/>
  <c r="I107" i="8" s="1"/>
  <c r="L106" i="8"/>
  <c r="M106" i="8" s="1"/>
  <c r="K107" i="8"/>
  <c r="L107" i="8" s="1"/>
  <c r="N29" i="13"/>
  <c r="M29" i="13"/>
  <c r="L30" i="13"/>
  <c r="D30" i="13"/>
  <c r="E30" i="13" s="1"/>
  <c r="I30" i="13" s="1"/>
  <c r="J31" i="13"/>
  <c r="K31" i="13" s="1"/>
  <c r="O30" i="13" l="1"/>
  <c r="H105" i="10"/>
  <c r="I105" i="10" s="1"/>
  <c r="G106" i="10"/>
  <c r="N105" i="10"/>
  <c r="L105" i="10"/>
  <c r="K106" i="10"/>
  <c r="E107" i="10"/>
  <c r="N107" i="8"/>
  <c r="M107" i="8"/>
  <c r="M30" i="13"/>
  <c r="N30" i="13"/>
  <c r="L31" i="13"/>
  <c r="J32" i="13"/>
  <c r="K32" i="13" s="1"/>
  <c r="D31" i="13"/>
  <c r="E31" i="13" s="1"/>
  <c r="I31" i="13" s="1"/>
  <c r="O31" i="13" l="1"/>
  <c r="K107" i="10"/>
  <c r="L107" i="10" s="1"/>
  <c r="L106" i="10"/>
  <c r="H106" i="10"/>
  <c r="I106" i="10" s="1"/>
  <c r="G107" i="10"/>
  <c r="N106" i="10"/>
  <c r="M105" i="10"/>
  <c r="N31" i="13"/>
  <c r="M31" i="13"/>
  <c r="L32" i="13"/>
  <c r="D32" i="13"/>
  <c r="E32" i="13" s="1"/>
  <c r="I32" i="13" s="1"/>
  <c r="J33" i="13"/>
  <c r="K33" i="13" s="1"/>
  <c r="O32" i="13" l="1"/>
  <c r="H107" i="10"/>
  <c r="I107" i="10" s="1"/>
  <c r="N107" i="10"/>
  <c r="M106" i="10"/>
  <c r="M107" i="10"/>
  <c r="N32" i="13"/>
  <c r="M32" i="13"/>
  <c r="L33" i="13"/>
  <c r="J34" i="13"/>
  <c r="K34" i="13" s="1"/>
  <c r="D33" i="13"/>
  <c r="E33" i="13" s="1"/>
  <c r="I33" i="13" s="1"/>
  <c r="O33" i="13" l="1"/>
  <c r="N33" i="13"/>
  <c r="M33" i="13"/>
  <c r="L34" i="13"/>
  <c r="D34" i="13"/>
  <c r="E34" i="13" s="1"/>
  <c r="I34" i="13" s="1"/>
  <c r="J35" i="13"/>
  <c r="K35" i="13" s="1"/>
  <c r="O34" i="13" l="1"/>
  <c r="N34" i="13"/>
  <c r="M34" i="13"/>
  <c r="L35" i="13"/>
  <c r="J36" i="13"/>
  <c r="K36" i="13" s="1"/>
  <c r="D35" i="13"/>
  <c r="E35" i="13" s="1"/>
  <c r="I35" i="13" s="1"/>
  <c r="O35" i="13" l="1"/>
  <c r="N35" i="13"/>
  <c r="M35" i="13"/>
  <c r="L36" i="13"/>
  <c r="D36" i="13"/>
  <c r="E36" i="13" s="1"/>
  <c r="I36" i="13" s="1"/>
  <c r="J37" i="13"/>
  <c r="K37" i="13" s="1"/>
  <c r="J38" i="13"/>
  <c r="O36" i="13" l="1"/>
  <c r="N36" i="13"/>
  <c r="M36" i="13"/>
  <c r="L37" i="13"/>
  <c r="K38" i="13"/>
  <c r="D37" i="13"/>
  <c r="E37" i="13" s="1"/>
  <c r="I37" i="13" s="1"/>
  <c r="O37" i="13" l="1"/>
  <c r="M37" i="13"/>
  <c r="D38" i="13"/>
  <c r="E38" i="13" s="1"/>
  <c r="N37" i="13"/>
  <c r="K39" i="13"/>
  <c r="L38" i="13"/>
  <c r="O38" i="13" l="1"/>
  <c r="K40" i="13"/>
  <c r="L39" i="13"/>
  <c r="N38" i="13"/>
  <c r="D39" i="13"/>
  <c r="E39" i="13" s="1"/>
  <c r="I38" i="13"/>
  <c r="M38" i="13" s="1"/>
  <c r="O39" i="13" l="1"/>
  <c r="N39" i="13"/>
  <c r="D40" i="13"/>
  <c r="O40" i="13" s="1"/>
  <c r="I39" i="13"/>
  <c r="M39" i="13" s="1"/>
  <c r="K41" i="13"/>
  <c r="L40" i="13"/>
  <c r="K42" i="13" l="1"/>
  <c r="L41" i="13"/>
  <c r="D41" i="13"/>
  <c r="O41" i="13" s="1"/>
  <c r="N40" i="13"/>
  <c r="E40" i="13"/>
  <c r="I40" i="13" s="1"/>
  <c r="M40" i="13" s="1"/>
  <c r="N41" i="13" l="1"/>
  <c r="D42" i="13"/>
  <c r="O42" i="13" s="1"/>
  <c r="E41" i="13"/>
  <c r="I41" i="13" s="1"/>
  <c r="M41" i="13" s="1"/>
  <c r="K43" i="13"/>
  <c r="L42" i="13"/>
  <c r="K44" i="13" l="1"/>
  <c r="L43" i="13"/>
  <c r="N42" i="13"/>
  <c r="D43" i="13"/>
  <c r="O43" i="13" s="1"/>
  <c r="E42" i="13"/>
  <c r="I42" i="13" s="1"/>
  <c r="M42" i="13" s="1"/>
  <c r="D44" i="13" l="1"/>
  <c r="O44" i="13" s="1"/>
  <c r="N43" i="13"/>
  <c r="E43" i="13"/>
  <c r="I43" i="13" s="1"/>
  <c r="M43" i="13" s="1"/>
  <c r="K45" i="13"/>
  <c r="L44" i="13"/>
  <c r="K46" i="13" l="1"/>
  <c r="L45" i="13"/>
  <c r="N44" i="13"/>
  <c r="D45" i="13"/>
  <c r="O45" i="13" s="1"/>
  <c r="E44" i="13"/>
  <c r="I44" i="13" s="1"/>
  <c r="M44" i="13" s="1"/>
  <c r="N45" i="13" l="1"/>
  <c r="D46" i="13"/>
  <c r="O46" i="13" s="1"/>
  <c r="E45" i="13"/>
  <c r="I45" i="13" s="1"/>
  <c r="M45" i="13" s="1"/>
  <c r="K47" i="13"/>
  <c r="L46" i="13"/>
  <c r="L47" i="13" l="1"/>
  <c r="N46" i="13"/>
  <c r="D47" i="13"/>
  <c r="O47" i="13" s="1"/>
  <c r="E46" i="13"/>
  <c r="I46" i="13" s="1"/>
  <c r="M46" i="13" s="1"/>
  <c r="N47" i="13" l="1"/>
  <c r="D48" i="13"/>
  <c r="E48" i="13" s="1"/>
  <c r="E47" i="13"/>
  <c r="I47" i="13" s="1"/>
  <c r="M47" i="13" s="1"/>
  <c r="D49" i="13" l="1"/>
  <c r="F48" i="13"/>
  <c r="J48" i="13" l="1"/>
  <c r="K48" i="13" s="1"/>
  <c r="G48" i="13"/>
  <c r="F49" i="13"/>
  <c r="J49" i="13" s="1"/>
  <c r="D50" i="13"/>
  <c r="E49" i="13"/>
  <c r="O48" i="13" l="1"/>
  <c r="F50" i="13"/>
  <c r="D51" i="13"/>
  <c r="E50" i="13"/>
  <c r="G49" i="13"/>
  <c r="H48" i="13"/>
  <c r="I48" i="13" s="1"/>
  <c r="N48" i="13"/>
  <c r="K49" i="13"/>
  <c r="L48" i="13"/>
  <c r="O49" i="13" l="1"/>
  <c r="M48" i="13"/>
  <c r="G50" i="13"/>
  <c r="H49" i="13"/>
  <c r="N49" i="13"/>
  <c r="D52" i="13"/>
  <c r="F51" i="13"/>
  <c r="J51" i="13" s="1"/>
  <c r="E51" i="13"/>
  <c r="J50" i="13"/>
  <c r="K50" i="13" s="1"/>
  <c r="L49" i="13"/>
  <c r="O50" i="13" l="1"/>
  <c r="K51" i="13"/>
  <c r="L50" i="13"/>
  <c r="F52" i="13"/>
  <c r="D53" i="13"/>
  <c r="E52" i="13"/>
  <c r="I49" i="13"/>
  <c r="M49" i="13" s="1"/>
  <c r="H50" i="13"/>
  <c r="I50" i="13" s="1"/>
  <c r="G51" i="13"/>
  <c r="N50" i="13"/>
  <c r="O51" i="13" l="1"/>
  <c r="J52" i="13"/>
  <c r="M50" i="13"/>
  <c r="K52" i="13"/>
  <c r="L51" i="13"/>
  <c r="H51" i="13"/>
  <c r="I51" i="13" s="1"/>
  <c r="G52" i="13"/>
  <c r="N51" i="13"/>
  <c r="F53" i="13"/>
  <c r="J53" i="13" s="1"/>
  <c r="D54" i="13"/>
  <c r="E53" i="13"/>
  <c r="O52" i="13" l="1"/>
  <c r="F54" i="13"/>
  <c r="D55" i="13"/>
  <c r="E54" i="13"/>
  <c r="H52" i="13"/>
  <c r="I52" i="13" s="1"/>
  <c r="G53" i="13"/>
  <c r="N52" i="13"/>
  <c r="M51" i="13"/>
  <c r="K53" i="13"/>
  <c r="L52" i="13"/>
  <c r="O53" i="13" l="1"/>
  <c r="M52" i="13"/>
  <c r="L53" i="13"/>
  <c r="F55" i="13"/>
  <c r="J55" i="13" s="1"/>
  <c r="D56" i="13"/>
  <c r="E55" i="13"/>
  <c r="J54" i="13"/>
  <c r="K54" i="13" s="1"/>
  <c r="H53" i="13"/>
  <c r="I53" i="13" s="1"/>
  <c r="G54" i="13"/>
  <c r="N53" i="13"/>
  <c r="O54" i="13" l="1"/>
  <c r="H54" i="13"/>
  <c r="I54" i="13" s="1"/>
  <c r="G55" i="13"/>
  <c r="N54" i="13"/>
  <c r="M53" i="13"/>
  <c r="K55" i="13"/>
  <c r="O55" i="13" s="1"/>
  <c r="L54" i="13"/>
  <c r="F56" i="13"/>
  <c r="J56" i="13" s="1"/>
  <c r="D57" i="13"/>
  <c r="E56" i="13"/>
  <c r="M54" i="13" l="1"/>
  <c r="H55" i="13"/>
  <c r="I55" i="13" s="1"/>
  <c r="G56" i="13"/>
  <c r="N55" i="13"/>
  <c r="F57" i="13"/>
  <c r="J57" i="13" s="1"/>
  <c r="D58" i="13"/>
  <c r="E57" i="13"/>
  <c r="K56" i="13"/>
  <c r="O56" i="13" s="1"/>
  <c r="L55" i="13"/>
  <c r="M55" i="13" l="1"/>
  <c r="K57" i="13"/>
  <c r="L56" i="13"/>
  <c r="G57" i="13"/>
  <c r="H56" i="13"/>
  <c r="I56" i="13" s="1"/>
  <c r="N56" i="13"/>
  <c r="F58" i="13"/>
  <c r="J58" i="13" s="1"/>
  <c r="D59" i="13"/>
  <c r="E58" i="13"/>
  <c r="O57" i="13" l="1"/>
  <c r="M56" i="13"/>
  <c r="G58" i="13"/>
  <c r="H57" i="13"/>
  <c r="I57" i="13" s="1"/>
  <c r="N57" i="13"/>
  <c r="D60" i="13"/>
  <c r="F59" i="13"/>
  <c r="E59" i="13"/>
  <c r="C14" i="3" s="1"/>
  <c r="G14" i="3" s="1"/>
  <c r="K58" i="13"/>
  <c r="L57" i="13"/>
  <c r="O58" i="13" l="1"/>
  <c r="J59" i="13"/>
  <c r="K59" i="13" s="1"/>
  <c r="F110" i="13"/>
  <c r="M57" i="13"/>
  <c r="H58" i="13"/>
  <c r="I58" i="13" s="1"/>
  <c r="G59" i="13"/>
  <c r="N58" i="13"/>
  <c r="F60" i="13"/>
  <c r="J60" i="13" s="1"/>
  <c r="D61" i="13"/>
  <c r="E60" i="13"/>
  <c r="L58" i="13"/>
  <c r="O59" i="13" l="1"/>
  <c r="D5" i="22"/>
  <c r="D8" i="22" s="1"/>
  <c r="D10" i="22" s="1"/>
  <c r="C31" i="3" s="1"/>
  <c r="G31" i="3" s="1"/>
  <c r="M58" i="13"/>
  <c r="K60" i="13"/>
  <c r="L59" i="13"/>
  <c r="C18" i="3" s="1"/>
  <c r="G18" i="3" s="1"/>
  <c r="D62" i="13"/>
  <c r="F61" i="13"/>
  <c r="E61" i="13"/>
  <c r="G60" i="13"/>
  <c r="H59" i="13"/>
  <c r="N59" i="13"/>
  <c r="O60" i="13" l="1"/>
  <c r="I59" i="13"/>
  <c r="M59" i="13" s="1"/>
  <c r="E5" i="22" s="1"/>
  <c r="C16" i="3"/>
  <c r="G16" i="3" s="1"/>
  <c r="J61" i="13"/>
  <c r="K61" i="13" s="1"/>
  <c r="F62" i="13"/>
  <c r="D63" i="13"/>
  <c r="E62" i="13"/>
  <c r="L60" i="13"/>
  <c r="G61" i="13"/>
  <c r="H60" i="13"/>
  <c r="I60" i="13" s="1"/>
  <c r="N60" i="13"/>
  <c r="O61" i="13" l="1"/>
  <c r="E13" i="22"/>
  <c r="E15" i="22" s="1"/>
  <c r="E8" i="22"/>
  <c r="G62" i="13"/>
  <c r="H61" i="13"/>
  <c r="N61" i="13"/>
  <c r="F63" i="13"/>
  <c r="J63" i="13" s="1"/>
  <c r="D64" i="13"/>
  <c r="E63" i="13"/>
  <c r="J62" i="13"/>
  <c r="K62" i="13" s="1"/>
  <c r="M60" i="13"/>
  <c r="L61" i="13"/>
  <c r="O62" i="13" l="1"/>
  <c r="C19" i="3"/>
  <c r="K63" i="13"/>
  <c r="L62" i="13"/>
  <c r="D65" i="13"/>
  <c r="F64" i="13"/>
  <c r="J64" i="13" s="1"/>
  <c r="E64" i="13"/>
  <c r="I61" i="13"/>
  <c r="M61" i="13" s="1"/>
  <c r="G63" i="13"/>
  <c r="H62" i="13"/>
  <c r="I62" i="13" s="1"/>
  <c r="N62" i="13"/>
  <c r="C21" i="3" l="1"/>
  <c r="G19" i="3"/>
  <c r="O63" i="13"/>
  <c r="C26" i="3"/>
  <c r="G26" i="3" s="1"/>
  <c r="M62" i="13"/>
  <c r="G64" i="13"/>
  <c r="H63" i="13"/>
  <c r="I63" i="13" s="1"/>
  <c r="N63" i="13"/>
  <c r="F65" i="13"/>
  <c r="J65" i="13" s="1"/>
  <c r="D66" i="13"/>
  <c r="E65" i="13"/>
  <c r="K64" i="13"/>
  <c r="L63" i="13"/>
  <c r="C32" i="3" l="1"/>
  <c r="G32" i="3" s="1"/>
  <c r="G21" i="3"/>
  <c r="O64" i="13"/>
  <c r="C33" i="3"/>
  <c r="G33" i="3" s="1"/>
  <c r="M63" i="13"/>
  <c r="F66" i="13"/>
  <c r="J66" i="13" s="1"/>
  <c r="D67" i="13"/>
  <c r="E66" i="13"/>
  <c r="K65" i="13"/>
  <c r="L64" i="13"/>
  <c r="G65" i="13"/>
  <c r="H64" i="13"/>
  <c r="I64" i="13" s="1"/>
  <c r="N64" i="13"/>
  <c r="O65" i="13" l="1"/>
  <c r="C36" i="3"/>
  <c r="G36" i="3" s="1"/>
  <c r="K66" i="13"/>
  <c r="L65" i="13"/>
  <c r="D68" i="13"/>
  <c r="F67" i="13"/>
  <c r="E67" i="13"/>
  <c r="G66" i="13"/>
  <c r="H65" i="13"/>
  <c r="I65" i="13" s="1"/>
  <c r="N65" i="13"/>
  <c r="M64" i="13"/>
  <c r="O66" i="13" l="1"/>
  <c r="F68" i="13"/>
  <c r="J68" i="13" s="1"/>
  <c r="D69" i="13"/>
  <c r="E68" i="13"/>
  <c r="J67" i="13"/>
  <c r="K67" i="13" s="1"/>
  <c r="M65" i="13"/>
  <c r="G67" i="13"/>
  <c r="H66" i="13"/>
  <c r="I66" i="13" s="1"/>
  <c r="N66" i="13"/>
  <c r="L66" i="13"/>
  <c r="O67" i="13" l="1"/>
  <c r="M66" i="13"/>
  <c r="K68" i="13"/>
  <c r="L67" i="13"/>
  <c r="G68" i="13"/>
  <c r="H67" i="13"/>
  <c r="I67" i="13" s="1"/>
  <c r="N67" i="13"/>
  <c r="D70" i="13"/>
  <c r="F69" i="13"/>
  <c r="J69" i="13" s="1"/>
  <c r="E69" i="13"/>
  <c r="O68" i="13" l="1"/>
  <c r="G69" i="13"/>
  <c r="H68" i="13"/>
  <c r="I68" i="13" s="1"/>
  <c r="N68" i="13"/>
  <c r="M67" i="13"/>
  <c r="F70" i="13"/>
  <c r="J70" i="13" s="1"/>
  <c r="D71" i="13"/>
  <c r="E70" i="13"/>
  <c r="K69" i="13"/>
  <c r="L68" i="13"/>
  <c r="O69" i="13" l="1"/>
  <c r="M68" i="13"/>
  <c r="K70" i="13"/>
  <c r="L69" i="13"/>
  <c r="F71" i="13"/>
  <c r="J71" i="13" s="1"/>
  <c r="D72" i="13"/>
  <c r="E71" i="13"/>
  <c r="G70" i="13"/>
  <c r="H69" i="13"/>
  <c r="I69" i="13" s="1"/>
  <c r="N69" i="13"/>
  <c r="O70" i="13" l="1"/>
  <c r="G71" i="13"/>
  <c r="H70" i="13"/>
  <c r="I70" i="13" s="1"/>
  <c r="N70" i="13"/>
  <c r="D73" i="13"/>
  <c r="F72" i="13"/>
  <c r="J72" i="13" s="1"/>
  <c r="E72" i="13"/>
  <c r="M69" i="13"/>
  <c r="K71" i="13"/>
  <c r="L70" i="13"/>
  <c r="O71" i="13" l="1"/>
  <c r="M70" i="13"/>
  <c r="D74" i="13"/>
  <c r="F73" i="13"/>
  <c r="E73" i="13"/>
  <c r="K72" i="13"/>
  <c r="L71" i="13"/>
  <c r="G72" i="13"/>
  <c r="H71" i="13"/>
  <c r="I71" i="13" s="1"/>
  <c r="N71" i="13"/>
  <c r="O72" i="13" l="1"/>
  <c r="M71" i="13"/>
  <c r="L72" i="13"/>
  <c r="J73" i="13"/>
  <c r="K73" i="13" s="1"/>
  <c r="G73" i="13"/>
  <c r="H72" i="13"/>
  <c r="I72" i="13" s="1"/>
  <c r="N72" i="13"/>
  <c r="F74" i="13"/>
  <c r="J74" i="13" s="1"/>
  <c r="D75" i="13"/>
  <c r="E74" i="13"/>
  <c r="O73" i="13" l="1"/>
  <c r="M72" i="13"/>
  <c r="K74" i="13"/>
  <c r="L73" i="13"/>
  <c r="D76" i="13"/>
  <c r="F75" i="13"/>
  <c r="J75" i="13" s="1"/>
  <c r="E75" i="13"/>
  <c r="G74" i="13"/>
  <c r="H73" i="13"/>
  <c r="N73" i="13"/>
  <c r="O74" i="13" l="1"/>
  <c r="I73" i="13"/>
  <c r="M73" i="13" s="1"/>
  <c r="G75" i="13"/>
  <c r="H74" i="13"/>
  <c r="I74" i="13" s="1"/>
  <c r="N74" i="13"/>
  <c r="K75" i="13"/>
  <c r="O75" i="13" s="1"/>
  <c r="L74" i="13"/>
  <c r="D77" i="13"/>
  <c r="F76" i="13"/>
  <c r="J76" i="13" s="1"/>
  <c r="E76" i="13"/>
  <c r="M74" i="13" l="1"/>
  <c r="K76" i="13"/>
  <c r="L75" i="13"/>
  <c r="G76" i="13"/>
  <c r="H75" i="13"/>
  <c r="I75" i="13" s="1"/>
  <c r="N75" i="13"/>
  <c r="F77" i="13"/>
  <c r="J77" i="13" s="1"/>
  <c r="D78" i="13"/>
  <c r="E77" i="13"/>
  <c r="O76" i="13" l="1"/>
  <c r="F78" i="13"/>
  <c r="J78" i="13" s="1"/>
  <c r="D79" i="13"/>
  <c r="E78" i="13"/>
  <c r="G77" i="13"/>
  <c r="H76" i="13"/>
  <c r="I76" i="13" s="1"/>
  <c r="N76" i="13"/>
  <c r="K77" i="13"/>
  <c r="O77" i="13" s="1"/>
  <c r="L76" i="13"/>
  <c r="M75" i="13"/>
  <c r="M76" i="13" l="1"/>
  <c r="F79" i="13"/>
  <c r="J79" i="13" s="1"/>
  <c r="D80" i="13"/>
  <c r="E79" i="13"/>
  <c r="K78" i="13"/>
  <c r="L77" i="13"/>
  <c r="G78" i="13"/>
  <c r="H77" i="13"/>
  <c r="I77" i="13" s="1"/>
  <c r="N77" i="13"/>
  <c r="O78" i="13" l="1"/>
  <c r="K79" i="13"/>
  <c r="L78" i="13"/>
  <c r="D81" i="13"/>
  <c r="F80" i="13"/>
  <c r="J80" i="13" s="1"/>
  <c r="E80" i="13"/>
  <c r="G79" i="13"/>
  <c r="H78" i="13"/>
  <c r="I78" i="13" s="1"/>
  <c r="N78" i="13"/>
  <c r="M77" i="13"/>
  <c r="O79" i="13" l="1"/>
  <c r="D82" i="13"/>
  <c r="F81" i="13"/>
  <c r="J81" i="13" s="1"/>
  <c r="E81" i="13"/>
  <c r="G80" i="13"/>
  <c r="H79" i="13"/>
  <c r="I79" i="13" s="1"/>
  <c r="N79" i="13"/>
  <c r="M78" i="13"/>
  <c r="K80" i="13"/>
  <c r="L79" i="13"/>
  <c r="O80" i="13" l="1"/>
  <c r="M79" i="13"/>
  <c r="G81" i="13"/>
  <c r="H80" i="13"/>
  <c r="I80" i="13" s="1"/>
  <c r="N80" i="13"/>
  <c r="K81" i="13"/>
  <c r="O81" i="13" s="1"/>
  <c r="L80" i="13"/>
  <c r="D83" i="13"/>
  <c r="F82" i="13"/>
  <c r="J82" i="13" s="1"/>
  <c r="E82" i="13"/>
  <c r="M80" i="13" l="1"/>
  <c r="K82" i="13"/>
  <c r="L81" i="13"/>
  <c r="F83" i="13"/>
  <c r="J83" i="13" s="1"/>
  <c r="D84" i="13"/>
  <c r="E83" i="13"/>
  <c r="G82" i="13"/>
  <c r="H81" i="13"/>
  <c r="I81" i="13" s="1"/>
  <c r="N81" i="13"/>
  <c r="O82" i="13" l="1"/>
  <c r="F84" i="13"/>
  <c r="J84" i="13" s="1"/>
  <c r="D85" i="13"/>
  <c r="E84" i="13"/>
  <c r="M81" i="13"/>
  <c r="G83" i="13"/>
  <c r="H82" i="13"/>
  <c r="I82" i="13" s="1"/>
  <c r="N82" i="13"/>
  <c r="K83" i="13"/>
  <c r="L82" i="13"/>
  <c r="O83" i="13" l="1"/>
  <c r="M82" i="13"/>
  <c r="F85" i="13"/>
  <c r="J85" i="13" s="1"/>
  <c r="D86" i="13"/>
  <c r="E85" i="13"/>
  <c r="G84" i="13"/>
  <c r="H83" i="13"/>
  <c r="I83" i="13" s="1"/>
  <c r="N83" i="13"/>
  <c r="K84" i="13"/>
  <c r="L83" i="13"/>
  <c r="O84" i="13" l="1"/>
  <c r="M83" i="13"/>
  <c r="G85" i="13"/>
  <c r="H84" i="13"/>
  <c r="I84" i="13" s="1"/>
  <c r="N84" i="13"/>
  <c r="K85" i="13"/>
  <c r="O85" i="13" s="1"/>
  <c r="L84" i="13"/>
  <c r="F86" i="13"/>
  <c r="J86" i="13" s="1"/>
  <c r="D87" i="13"/>
  <c r="E86" i="13"/>
  <c r="M84" i="13" l="1"/>
  <c r="F87" i="13"/>
  <c r="J87" i="13" s="1"/>
  <c r="D88" i="13"/>
  <c r="E87" i="13"/>
  <c r="K86" i="13"/>
  <c r="L85" i="13"/>
  <c r="G86" i="13"/>
  <c r="H85" i="13"/>
  <c r="I85" i="13" s="1"/>
  <c r="N85" i="13"/>
  <c r="O86" i="13" l="1"/>
  <c r="M85" i="13"/>
  <c r="K87" i="13"/>
  <c r="L86" i="13"/>
  <c r="D89" i="13"/>
  <c r="F88" i="13"/>
  <c r="J88" i="13" s="1"/>
  <c r="E88" i="13"/>
  <c r="G87" i="13"/>
  <c r="H86" i="13"/>
  <c r="I86" i="13" s="1"/>
  <c r="N86" i="13"/>
  <c r="O87" i="13" l="1"/>
  <c r="M86" i="13"/>
  <c r="G88" i="13"/>
  <c r="H87" i="13"/>
  <c r="I87" i="13" s="1"/>
  <c r="N87" i="13"/>
  <c r="F89" i="13"/>
  <c r="J89" i="13" s="1"/>
  <c r="D90" i="13"/>
  <c r="E89" i="13"/>
  <c r="K88" i="13"/>
  <c r="L87" i="13"/>
  <c r="O88" i="13" l="1"/>
  <c r="M87" i="13"/>
  <c r="F90" i="13"/>
  <c r="J90" i="13" s="1"/>
  <c r="D91" i="13"/>
  <c r="E90" i="13"/>
  <c r="K89" i="13"/>
  <c r="L88" i="13"/>
  <c r="G89" i="13"/>
  <c r="H88" i="13"/>
  <c r="I88" i="13" s="1"/>
  <c r="N88" i="13"/>
  <c r="O89" i="13" l="1"/>
  <c r="M88" i="13"/>
  <c r="G90" i="13"/>
  <c r="H89" i="13"/>
  <c r="I89" i="13" s="1"/>
  <c r="N89" i="13"/>
  <c r="K90" i="13"/>
  <c r="O90" i="13" s="1"/>
  <c r="L89" i="13"/>
  <c r="F91" i="13"/>
  <c r="J91" i="13" s="1"/>
  <c r="D92" i="13"/>
  <c r="E91" i="13"/>
  <c r="M89" i="13" l="1"/>
  <c r="F92" i="13"/>
  <c r="J92" i="13" s="1"/>
  <c r="D93" i="13"/>
  <c r="E92" i="13"/>
  <c r="K91" i="13"/>
  <c r="L90" i="13"/>
  <c r="G91" i="13"/>
  <c r="H90" i="13"/>
  <c r="I90" i="13" s="1"/>
  <c r="N90" i="13"/>
  <c r="O91" i="13" l="1"/>
  <c r="M90" i="13"/>
  <c r="G92" i="13"/>
  <c r="H91" i="13"/>
  <c r="I91" i="13" s="1"/>
  <c r="N91" i="13"/>
  <c r="K92" i="13"/>
  <c r="O92" i="13" s="1"/>
  <c r="L91" i="13"/>
  <c r="F93" i="13"/>
  <c r="J93" i="13" s="1"/>
  <c r="D94" i="13"/>
  <c r="E93" i="13"/>
  <c r="M91" i="13" l="1"/>
  <c r="F94" i="13"/>
  <c r="J94" i="13" s="1"/>
  <c r="D95" i="13"/>
  <c r="E94" i="13"/>
  <c r="K93" i="13"/>
  <c r="L92" i="13"/>
  <c r="G93" i="13"/>
  <c r="H92" i="13"/>
  <c r="I92" i="13" s="1"/>
  <c r="N92" i="13"/>
  <c r="O93" i="13" l="1"/>
  <c r="D96" i="13"/>
  <c r="M92" i="13"/>
  <c r="K94" i="13"/>
  <c r="L93" i="13"/>
  <c r="G94" i="13"/>
  <c r="H93" i="13"/>
  <c r="I93" i="13" s="1"/>
  <c r="N93" i="13"/>
  <c r="F95" i="13"/>
  <c r="J95" i="13" s="1"/>
  <c r="E95" i="13"/>
  <c r="O94" i="13" l="1"/>
  <c r="E96" i="13"/>
  <c r="D97" i="13"/>
  <c r="G95" i="13"/>
  <c r="G96" i="13" s="1"/>
  <c r="H94" i="13"/>
  <c r="I94" i="13" s="1"/>
  <c r="N94" i="13"/>
  <c r="M93" i="13"/>
  <c r="K95" i="13"/>
  <c r="K96" i="13" s="1"/>
  <c r="L94" i="13"/>
  <c r="M94" i="13" l="1"/>
  <c r="G97" i="13"/>
  <c r="H96" i="13"/>
  <c r="I96" i="13" s="1"/>
  <c r="N96" i="13"/>
  <c r="D98" i="13"/>
  <c r="E97" i="13"/>
  <c r="K97" i="13"/>
  <c r="L96" i="13"/>
  <c r="L95" i="13"/>
  <c r="H95" i="13"/>
  <c r="I95" i="13" s="1"/>
  <c r="N95" i="13"/>
  <c r="K98" i="13" l="1"/>
  <c r="L97" i="13"/>
  <c r="N97" i="13"/>
  <c r="D99" i="13"/>
  <c r="E98" i="13"/>
  <c r="G98" i="13"/>
  <c r="H97" i="13"/>
  <c r="I97" i="13" s="1"/>
  <c r="M96" i="13"/>
  <c r="M95" i="13"/>
  <c r="G99" i="13" l="1"/>
  <c r="H98" i="13"/>
  <c r="I98" i="13" s="1"/>
  <c r="N98" i="13"/>
  <c r="D100" i="13"/>
  <c r="E99" i="13"/>
  <c r="M97" i="13"/>
  <c r="L98" i="13"/>
  <c r="K99" i="13"/>
  <c r="N99" i="13" s="1"/>
  <c r="D101" i="13" l="1"/>
  <c r="E100" i="13"/>
  <c r="M98" i="13"/>
  <c r="L99" i="13"/>
  <c r="K100" i="13"/>
  <c r="H99" i="13"/>
  <c r="I99" i="13" s="1"/>
  <c r="G100" i="13"/>
  <c r="K101" i="13" l="1"/>
  <c r="L100" i="13"/>
  <c r="M99" i="13"/>
  <c r="N100" i="13"/>
  <c r="D102" i="13"/>
  <c r="E101" i="13"/>
  <c r="G101" i="13"/>
  <c r="N101" i="13" s="1"/>
  <c r="H100" i="13"/>
  <c r="I100" i="13" s="1"/>
  <c r="M100" i="13" s="1"/>
  <c r="D103" i="13" l="1"/>
  <c r="E102" i="13"/>
  <c r="G102" i="13"/>
  <c r="H101" i="13"/>
  <c r="I101" i="13" s="1"/>
  <c r="K102" i="13"/>
  <c r="L101" i="13"/>
  <c r="M101" i="13" l="1"/>
  <c r="K103" i="13"/>
  <c r="L102" i="13"/>
  <c r="G103" i="13"/>
  <c r="H102" i="13"/>
  <c r="I102" i="13" s="1"/>
  <c r="M102" i="13" s="1"/>
  <c r="N102" i="13"/>
  <c r="D104" i="13"/>
  <c r="N103" i="13"/>
  <c r="E103" i="13"/>
  <c r="D105" i="13" l="1"/>
  <c r="E104" i="13"/>
  <c r="G104" i="13"/>
  <c r="H103" i="13"/>
  <c r="I103" i="13" s="1"/>
  <c r="K104" i="13"/>
  <c r="L103" i="13"/>
  <c r="M103" i="13" l="1"/>
  <c r="K105" i="13"/>
  <c r="L104" i="13"/>
  <c r="G105" i="13"/>
  <c r="H104" i="13"/>
  <c r="I104" i="13" s="1"/>
  <c r="M104" i="13" s="1"/>
  <c r="N104" i="13"/>
  <c r="D106" i="13"/>
  <c r="N105" i="13"/>
  <c r="E105" i="13"/>
  <c r="D107" i="13" l="1"/>
  <c r="E106" i="13"/>
  <c r="G106" i="13"/>
  <c r="H105" i="13"/>
  <c r="I105" i="13" s="1"/>
  <c r="K106" i="13"/>
  <c r="L105" i="13"/>
  <c r="M105" i="13" l="1"/>
  <c r="K107" i="13"/>
  <c r="L107" i="13" s="1"/>
  <c r="L106" i="13"/>
  <c r="G107" i="13"/>
  <c r="H107" i="13" s="1"/>
  <c r="H106" i="13"/>
  <c r="I106" i="13" s="1"/>
  <c r="M106" i="13" s="1"/>
  <c r="N106" i="13"/>
  <c r="N107" i="13"/>
  <c r="E107" i="13"/>
  <c r="I107" i="13" l="1"/>
  <c r="M107" i="13" s="1"/>
</calcChain>
</file>

<file path=xl/sharedStrings.xml><?xml version="1.0" encoding="utf-8"?>
<sst xmlns="http://schemas.openxmlformats.org/spreadsheetml/2006/main" count="507" uniqueCount="201">
  <si>
    <t>W_K.99999.03.33.01 - TLNG Supervision &amp; Support for PSE</t>
  </si>
  <si>
    <t>W_K.99999.03.33.17 - TLNG Power Costs for PSE</t>
  </si>
  <si>
    <t>W_K.99999.03.33.18 - TLNG Insurance for PSE</t>
  </si>
  <si>
    <t>W_K.99999.03.33.02 - TLNG Liquefaction System for PSE</t>
  </si>
  <si>
    <t>W_K.99999.03.33.03 - TLNG LNG Storage System for PSE</t>
  </si>
  <si>
    <t>W_K.99999.03.33.04 - TLNG Truck Loading System for PSE</t>
  </si>
  <si>
    <t>W_K.99999.03.33.06 - TLNG Pre-Treatment System for PSE</t>
  </si>
  <si>
    <t>W_K.99999.03.33.07 - TLNG Plant Utilities System for PSE</t>
  </si>
  <si>
    <t>W_K.99999.03.33.08 - TLNG Fuel System for PSE</t>
  </si>
  <si>
    <t>W_K.99999.03.33.09 - TLNG General Consumables for PSE</t>
  </si>
  <si>
    <t>W_K.99999.03.33.10 - TLNG Outside Util and HouseKeeping PSE</t>
  </si>
  <si>
    <t>W_K.99999.03.33.11 - TLNG Compliance for PSE</t>
  </si>
  <si>
    <t>W_K.99999.03.33.12 - TLNG Balance of Plant for PSE</t>
  </si>
  <si>
    <t>W_K.99999.03.33.13 - TLNG Control System for PSE</t>
  </si>
  <si>
    <t>W_K.99999.03.33.14 - TLNG Mgmt Fee and Incentive for PSE</t>
  </si>
  <si>
    <t>Item</t>
  </si>
  <si>
    <t>Operating and maintenance expenses (O&amp;M)</t>
  </si>
  <si>
    <t>Depreciation expense</t>
  </si>
  <si>
    <t>Conversion Factor</t>
  </si>
  <si>
    <t>weight</t>
  </si>
  <si>
    <t>cost</t>
  </si>
  <si>
    <t>Total</t>
  </si>
  <si>
    <t>debt</t>
  </si>
  <si>
    <t>equity</t>
  </si>
  <si>
    <t>PUGET SOUND ENERGY - GAS</t>
  </si>
  <si>
    <t>GAS RESULTS OF OPERATIONS</t>
  </si>
  <si>
    <t>12 MONTHS ENDED JUNE 30, 2021</t>
  </si>
  <si>
    <t>CONVERSION FACTOR</t>
  </si>
  <si>
    <t>LINE</t>
  </si>
  <si>
    <t>NO.</t>
  </si>
  <si>
    <t>DESCRIPTION</t>
  </si>
  <si>
    <t>BAD DEBTS</t>
  </si>
  <si>
    <t>ANNUAL FILING FEE</t>
  </si>
  <si>
    <t>STATE UTILITY TAX ( 3.8358% - ( LINE 1 * 3.8358% )  )</t>
  </si>
  <si>
    <t>SUM OF TAXES OTHER</t>
  </si>
  <si>
    <t>CONVERSION FACTOR EXCLUDING FEDERAL INCOME TAX ( 1 - LINE 17 )</t>
  </si>
  <si>
    <t>FIT</t>
  </si>
  <si>
    <t xml:space="preserve">CONVERSION FACTOR INCL FEDERAL INCOME TAX ( LINE 18 - LINE 19 ) </t>
  </si>
  <si>
    <t>Net deferral rate base</t>
  </si>
  <si>
    <t>Total rate base</t>
  </si>
  <si>
    <t>Total before revenue sensitive fees and taxes</t>
  </si>
  <si>
    <t>AMA</t>
  </si>
  <si>
    <t>Total revenue requirement</t>
  </si>
  <si>
    <t>Puget Sound Energy</t>
  </si>
  <si>
    <t>LNG Deferred Depreciation</t>
  </si>
  <si>
    <t>Amortization starts January 1, 2023 and ends December 31, 2026 (48 months)</t>
  </si>
  <si>
    <t>Actual Deferral</t>
  </si>
  <si>
    <t xml:space="preserve">Monthly </t>
  </si>
  <si>
    <t>Balance</t>
  </si>
  <si>
    <t>AMA Gross</t>
  </si>
  <si>
    <t>Monthly</t>
  </si>
  <si>
    <t>Accumulated</t>
  </si>
  <si>
    <t>AMA Accum.</t>
  </si>
  <si>
    <t>Accum DFIT</t>
  </si>
  <si>
    <t>AMA net of</t>
  </si>
  <si>
    <t>Month/</t>
  </si>
  <si>
    <t>Activity</t>
  </si>
  <si>
    <t>Amortization</t>
  </si>
  <si>
    <t>Net</t>
  </si>
  <si>
    <t>DFIT</t>
  </si>
  <si>
    <t>net of</t>
  </si>
  <si>
    <t>Period</t>
  </si>
  <si>
    <t xml:space="preserve">(a) </t>
  </si>
  <si>
    <t>(b)</t>
  </si>
  <si>
    <t xml:space="preserve">(c) </t>
  </si>
  <si>
    <t xml:space="preserve">(d) = (b) / </t>
  </si>
  <si>
    <t>(e) = prior mo - (d)</t>
  </si>
  <si>
    <t>(f)</t>
  </si>
  <si>
    <t>(g) = (c) + (f)</t>
  </si>
  <si>
    <t>(h) = (-(a) * 21%)</t>
  </si>
  <si>
    <t xml:space="preserve"> (i) = prior mo - (h) </t>
  </si>
  <si>
    <t>(j)</t>
  </si>
  <si>
    <t>(k) = (g) + (j)</t>
  </si>
  <si>
    <t>AA &amp; ADFIT</t>
  </si>
  <si>
    <t>48mos.(4yrs.)</t>
  </si>
  <si>
    <t>+ ((d) * 21%)</t>
  </si>
  <si>
    <t>Beginning</t>
  </si>
  <si>
    <t>Plant</t>
  </si>
  <si>
    <t>LNG Deferred Return</t>
  </si>
  <si>
    <t>Description</t>
  </si>
  <si>
    <t>Plant Balance</t>
  </si>
  <si>
    <t>Accumulated Depreciation</t>
  </si>
  <si>
    <t>Date</t>
  </si>
  <si>
    <t>Depreciable Plant Balance</t>
  </si>
  <si>
    <t>Depreciation Expense</t>
  </si>
  <si>
    <t>Net Book Value</t>
  </si>
  <si>
    <t>NBV Diff</t>
  </si>
  <si>
    <t>ADFIT</t>
  </si>
  <si>
    <t>Tax</t>
  </si>
  <si>
    <t>Book</t>
  </si>
  <si>
    <t>Tax (c) = (a)</t>
  </si>
  <si>
    <t xml:space="preserve">Book  </t>
  </si>
  <si>
    <t>Book &gt; Tax</t>
  </si>
  <si>
    <t>= - curr mos</t>
  </si>
  <si>
    <t>x Tax Table</t>
  </si>
  <si>
    <t>(e) = prior</t>
  </si>
  <si>
    <t>(f) = prior</t>
  </si>
  <si>
    <t>(j) + prior</t>
  </si>
  <si>
    <t>(a)</t>
  </si>
  <si>
    <t>mos- (c)</t>
  </si>
  <si>
    <t>mos - (d)</t>
  </si>
  <si>
    <t>(g) = (a) + (e)</t>
  </si>
  <si>
    <t>(h) = (b) + (f)</t>
  </si>
  <si>
    <t>(i) = (h) - (g)</t>
  </si>
  <si>
    <t>mos (j)</t>
  </si>
  <si>
    <t>Current Forecast</t>
  </si>
  <si>
    <t>W_K.99999.03.33.05 - TLNG Vaporization for PSE</t>
  </si>
  <si>
    <t>W_K.99999.03.33.15 - TLNG Supplemental Projects for PSE</t>
  </si>
  <si>
    <t>W_K.99999.03.33.16 - TLNG Lease for PSE</t>
  </si>
  <si>
    <t>Apr 2023</t>
  </si>
  <si>
    <t>May 2023</t>
  </si>
  <si>
    <t>Jun 2023</t>
  </si>
  <si>
    <t>Jul 2023</t>
  </si>
  <si>
    <t>Aug 2023</t>
  </si>
  <si>
    <t>Sep 2023</t>
  </si>
  <si>
    <t>Oct 2023</t>
  </si>
  <si>
    <t>Nov 2023</t>
  </si>
  <si>
    <t>Dec 2023</t>
  </si>
  <si>
    <t>Jan 2024</t>
  </si>
  <si>
    <t>Feb 2024</t>
  </si>
  <si>
    <t>Mar 2024</t>
  </si>
  <si>
    <t>Apr 2024</t>
  </si>
  <si>
    <t>May 2024</t>
  </si>
  <si>
    <t>Jun 2024</t>
  </si>
  <si>
    <t>Jul 2024</t>
  </si>
  <si>
    <t>Aug 2024</t>
  </si>
  <si>
    <t>Sep 2024</t>
  </si>
  <si>
    <t>Oct 2024</t>
  </si>
  <si>
    <t>Attachment A to LNG Accounting Instructions</t>
  </si>
  <si>
    <t>Book Depr</t>
  </si>
  <si>
    <t>Expense</t>
  </si>
  <si>
    <t>Total Net Plant in Rate Base</t>
  </si>
  <si>
    <t>Rate Base</t>
  </si>
  <si>
    <t>Deferrals</t>
  </si>
  <si>
    <t>O&amp;M</t>
  </si>
  <si>
    <t>Rev Req = First rate year AMA balances as Nov 2023 - Oct 2024</t>
  </si>
  <si>
    <t>Amortization of deferrals for return, depreciation and O&amp;M</t>
  </si>
  <si>
    <t>Total LNG Depo Amortization Exp. (Nov 2023-Oct-2024</t>
  </si>
  <si>
    <t>Requirement</t>
  </si>
  <si>
    <t>Approved Rate of Return</t>
  </si>
  <si>
    <t>Approved Weighted Average Cost of Debt</t>
  </si>
  <si>
    <t>Statutory Federal Income Tax Rate</t>
  </si>
  <si>
    <t>Net Operating Income for:</t>
  </si>
  <si>
    <t>Ref #</t>
  </si>
  <si>
    <t>Yr 1</t>
  </si>
  <si>
    <t>Yr 2</t>
  </si>
  <si>
    <t>Yr 3</t>
  </si>
  <si>
    <t>Yr 4</t>
  </si>
  <si>
    <t>Yr 5</t>
  </si>
  <si>
    <t>Accum Amortization on Depreciation Deferral</t>
  </si>
  <si>
    <t>Accum Amortization on O&amp;M Deferral</t>
  </si>
  <si>
    <t>ADFIT on Depreciation Deferral</t>
  </si>
  <si>
    <t>ADFIT on O&amp;M Deferral</t>
  </si>
  <si>
    <t>O&amp;M 12ME Oct 2024</t>
  </si>
  <si>
    <t>FIT Rate</t>
  </si>
  <si>
    <t>NOI</t>
  </si>
  <si>
    <t>Check</t>
  </si>
  <si>
    <t>s/b</t>
  </si>
  <si>
    <t>all</t>
  </si>
  <si>
    <t>From PowerPlant Subsidiary Ledger and Tax Calcs by Depr Group</t>
  </si>
  <si>
    <t>Note: No significant plant additions for Tacoma LNG are forecasted through October 2024.</t>
  </si>
  <si>
    <t>(d)</t>
  </si>
  <si>
    <t>Expense (k)</t>
  </si>
  <si>
    <t>EOP NBV</t>
  </si>
  <si>
    <t>Less ADIT</t>
  </si>
  <si>
    <t>(l) = (h) + (j)</t>
  </si>
  <si>
    <t>Depreciation</t>
  </si>
  <si>
    <t>Return</t>
  </si>
  <si>
    <t>Net Operating Income</t>
  </si>
  <si>
    <t xml:space="preserve">Amortization </t>
  </si>
  <si>
    <t>AMA Balance</t>
  </si>
  <si>
    <t xml:space="preserve"> as of 10/31/2024</t>
  </si>
  <si>
    <t>n/a</t>
  </si>
  <si>
    <t>Not Rate Base</t>
  </si>
  <si>
    <t>Return on rate base</t>
  </si>
  <si>
    <t>Depreciation deferral balances (Account 182.3)</t>
  </si>
  <si>
    <t>O&amp;M deferral balance (Account 182.3)</t>
  </si>
  <si>
    <t>AMA Balances (Oct 2023-Oct 2024)</t>
  </si>
  <si>
    <t>Tacoma LNG O&amp;M Forecast</t>
  </si>
  <si>
    <t>Tax Benefit of Interest (Line 21 x Line 24 x Line 25)</t>
  </si>
  <si>
    <t>Deferral = O&amp;M, Depreciation, and Return for the period Feb 2022 - Oct 2023</t>
  </si>
  <si>
    <t xml:space="preserve">LNG plant, depreciation, taxes - AMA </t>
  </si>
  <si>
    <r>
      <t xml:space="preserve">(Book </t>
    </r>
    <r>
      <rPr>
        <b/>
        <sz val="10"/>
        <rFont val="Calibri"/>
        <family val="2"/>
      </rPr>
      <t>&lt;</t>
    </r>
    <r>
      <rPr>
        <b/>
        <sz val="10"/>
        <rFont val="Arial"/>
        <family val="2"/>
      </rPr>
      <t xml:space="preserve"> Tax)</t>
    </r>
  </si>
  <si>
    <t>Accum Dep</t>
  </si>
  <si>
    <t>O&amp;M Deferral</t>
  </si>
  <si>
    <t>Total LNG O&amp;M Amortization Exp. (Nov 2023-Oct-2024)</t>
  </si>
  <si>
    <t>Total LNG Depo Amortization Exp. (Nov 2023-Oct-2024)</t>
  </si>
  <si>
    <t xml:space="preserve">Staff </t>
  </si>
  <si>
    <t>Recommended</t>
  </si>
  <si>
    <t>As filed Revenue</t>
  </si>
  <si>
    <t xml:space="preserve"> </t>
  </si>
  <si>
    <t>Used &amp; Useful (Staff)</t>
  </si>
  <si>
    <t>Gas Quality</t>
  </si>
  <si>
    <t xml:space="preserve">Gas Quality Monthly </t>
  </si>
  <si>
    <t>as filedBook Depr</t>
  </si>
  <si>
    <t>a</t>
  </si>
  <si>
    <t>Difference</t>
  </si>
  <si>
    <t>Liquefaction Allocator</t>
  </si>
  <si>
    <r>
      <t xml:space="preserve">2022 GENERAL RATE CASE - </t>
    </r>
    <r>
      <rPr>
        <b/>
        <sz val="10"/>
        <color rgb="FFFF0000"/>
        <rFont val="Times New Roman"/>
        <family val="1"/>
      </rPr>
      <t>Plus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Filing Fee Updated Per House Bill 1589, Effective 01.01.2024</t>
    </r>
  </si>
  <si>
    <t>RATE YEARS CALENDAR 2023 AND 2024</t>
  </si>
  <si>
    <t>Deferred Income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</si>
</sst>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[$-409]mmmm\ d\,\ yyyy;@"/>
    <numFmt numFmtId="168" formatCode="0.0000"/>
    <numFmt numFmtId="169" formatCode="_(&quot;$&quot;* #,##0.000000_);_(&quot;$&quot;* \(#,##0.0000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666666"/>
      <name val="Arial"/>
      <family val="2"/>
    </font>
    <font>
      <b/>
      <sz val="11"/>
      <color rgb="FF666666"/>
      <name val="Arial"/>
      <family val="2"/>
    </font>
    <font>
      <b/>
      <sz val="9"/>
      <color rgb="FFFFFFFF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Calibri"/>
      <family val="2"/>
    </font>
    <font>
      <b/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A667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2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1" applyNumberFormat="1" applyFont="1"/>
    <xf numFmtId="0" fontId="2" fillId="0" borderId="0" xfId="0" applyFont="1"/>
    <xf numFmtId="9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10" fontId="0" fillId="0" borderId="1" xfId="2" applyNumberFormat="1" applyFont="1" applyBorder="1"/>
    <xf numFmtId="10" fontId="2" fillId="0" borderId="0" xfId="2" applyNumberFormat="1" applyFont="1"/>
    <xf numFmtId="9" fontId="0" fillId="0" borderId="1" xfId="0" applyNumberFormat="1" applyBorder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/>
    <xf numFmtId="166" fontId="3" fillId="0" borderId="0" xfId="0" applyNumberFormat="1" applyFont="1" applyFill="1" applyAlignment="1"/>
    <xf numFmtId="166" fontId="3" fillId="0" borderId="1" xfId="0" applyNumberFormat="1" applyFont="1" applyFill="1" applyBorder="1" applyAlignment="1"/>
    <xf numFmtId="166" fontId="3" fillId="0" borderId="0" xfId="0" applyNumberFormat="1" applyFont="1" applyFill="1" applyBorder="1" applyAlignment="1"/>
    <xf numFmtId="9" fontId="3" fillId="0" borderId="0" xfId="0" applyNumberFormat="1" applyFont="1" applyFill="1" applyAlignment="1"/>
    <xf numFmtId="166" fontId="3" fillId="0" borderId="3" xfId="0" applyNumberFormat="1" applyFont="1" applyFill="1" applyBorder="1" applyAlignment="1" applyProtection="1">
      <protection locked="0"/>
    </xf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NumberFormat="1" applyFont="1" applyFill="1" applyAlignment="1"/>
    <xf numFmtId="0" fontId="6" fillId="0" borderId="0" xfId="0" applyFont="1" applyFill="1" applyAlignment="1">
      <alignment horizontal="centerContinuous"/>
    </xf>
    <xf numFmtId="14" fontId="6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quotePrefix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9" xfId="0" applyNumberFormat="1" applyFont="1" applyFill="1" applyBorder="1" applyAlignment="1"/>
    <xf numFmtId="0" fontId="7" fillId="0" borderId="0" xfId="0" applyFont="1" applyFill="1" applyBorder="1" applyAlignment="1">
      <alignment horizontal="right"/>
    </xf>
    <xf numFmtId="6" fontId="7" fillId="0" borderId="0" xfId="0" applyNumberFormat="1" applyFont="1" applyFill="1" applyBorder="1"/>
    <xf numFmtId="6" fontId="7" fillId="0" borderId="0" xfId="0" applyNumberFormat="1" applyFont="1" applyFill="1" applyBorder="1" applyAlignment="1">
      <alignment horizontal="center"/>
    </xf>
    <xf numFmtId="5" fontId="7" fillId="0" borderId="0" xfId="0" applyNumberFormat="1" applyFont="1" applyFill="1" applyBorder="1"/>
    <xf numFmtId="5" fontId="7" fillId="0" borderId="5" xfId="0" applyNumberFormat="1" applyFont="1" applyFill="1" applyBorder="1"/>
    <xf numFmtId="0" fontId="7" fillId="0" borderId="8" xfId="0" applyNumberFormat="1" applyFont="1" applyFill="1" applyBorder="1" applyAlignment="1"/>
    <xf numFmtId="17" fontId="7" fillId="0" borderId="0" xfId="0" applyNumberFormat="1" applyFont="1" applyFill="1" applyBorder="1"/>
    <xf numFmtId="38" fontId="7" fillId="0" borderId="0" xfId="0" applyNumberFormat="1" applyFont="1" applyFill="1" applyBorder="1"/>
    <xf numFmtId="165" fontId="7" fillId="0" borderId="0" xfId="0" applyNumberFormat="1" applyFont="1" applyFill="1" applyBorder="1"/>
    <xf numFmtId="165" fontId="7" fillId="0" borderId="8" xfId="0" applyNumberFormat="1" applyFont="1" applyFill="1" applyBorder="1" applyAlignment="1"/>
    <xf numFmtId="165" fontId="7" fillId="0" borderId="8" xfId="0" applyNumberFormat="1" applyFont="1" applyFill="1" applyBorder="1"/>
    <xf numFmtId="0" fontId="7" fillId="0" borderId="0" xfId="0" applyNumberFormat="1" applyFont="1" applyFill="1" applyBorder="1" applyAlignment="1"/>
    <xf numFmtId="43" fontId="7" fillId="0" borderId="0" xfId="0" applyNumberFormat="1" applyFont="1" applyFill="1" applyBorder="1"/>
    <xf numFmtId="41" fontId="7" fillId="0" borderId="0" xfId="0" applyNumberFormat="1" applyFont="1" applyFill="1" applyBorder="1"/>
    <xf numFmtId="165" fontId="7" fillId="0" borderId="5" xfId="0" applyNumberFormat="1" applyFont="1" applyFill="1" applyBorder="1"/>
    <xf numFmtId="17" fontId="7" fillId="0" borderId="1" xfId="0" applyNumberFormat="1" applyFont="1" applyFill="1" applyBorder="1"/>
    <xf numFmtId="0" fontId="7" fillId="0" borderId="1" xfId="0" applyNumberFormat="1" applyFont="1" applyFill="1" applyBorder="1" applyAlignment="1"/>
    <xf numFmtId="165" fontId="7" fillId="0" borderId="1" xfId="0" applyNumberFormat="1" applyFont="1" applyFill="1" applyBorder="1"/>
    <xf numFmtId="41" fontId="7" fillId="0" borderId="1" xfId="0" applyNumberFormat="1" applyFont="1" applyFill="1" applyBorder="1"/>
    <xf numFmtId="165" fontId="7" fillId="0" borderId="9" xfId="0" applyNumberFormat="1" applyFont="1" applyFill="1" applyBorder="1" applyAlignment="1"/>
    <xf numFmtId="43" fontId="7" fillId="0" borderId="1" xfId="0" applyNumberFormat="1" applyFont="1" applyFill="1" applyBorder="1"/>
    <xf numFmtId="0" fontId="2" fillId="0" borderId="0" xfId="0" applyFont="1" applyBorder="1" applyAlignment="1">
      <alignment horizontal="center"/>
    </xf>
    <xf numFmtId="167" fontId="8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40" fontId="7" fillId="0" borderId="0" xfId="0" applyNumberFormat="1" applyFont="1" applyFill="1" applyBorder="1"/>
    <xf numFmtId="49" fontId="0" fillId="0" borderId="0" xfId="0" applyNumberFormat="1"/>
    <xf numFmtId="37" fontId="10" fillId="0" borderId="16" xfId="3" applyNumberFormat="1" applyFont="1" applyFill="1" applyBorder="1" applyAlignment="1" applyProtection="1">
      <alignment vertical="center"/>
      <protection locked="0"/>
    </xf>
    <xf numFmtId="49" fontId="11" fillId="0" borderId="17" xfId="4" applyNumberFormat="1" applyFont="1" applyFill="1" applyBorder="1" applyAlignment="1" applyProtection="1">
      <alignment horizontal="left" indent="1"/>
    </xf>
    <xf numFmtId="49" fontId="12" fillId="2" borderId="18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left"/>
    </xf>
    <xf numFmtId="166" fontId="7" fillId="0" borderId="0" xfId="0" applyNumberFormat="1" applyFont="1" applyFill="1" applyAlignment="1">
      <alignment horizontal="left"/>
    </xf>
    <xf numFmtId="0" fontId="0" fillId="0" borderId="0" xfId="0" applyFill="1"/>
    <xf numFmtId="166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43" fontId="7" fillId="0" borderId="0" xfId="0" applyNumberFormat="1" applyFont="1" applyFill="1" applyAlignment="1">
      <alignment horizontal="left"/>
    </xf>
    <xf numFmtId="165" fontId="7" fillId="0" borderId="0" xfId="0" applyNumberFormat="1" applyFont="1" applyFill="1" applyAlignment="1">
      <alignment horizontal="left"/>
    </xf>
    <xf numFmtId="13" fontId="7" fillId="0" borderId="0" xfId="0" applyNumberFormat="1" applyFont="1" applyFill="1"/>
    <xf numFmtId="0" fontId="6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Continuous" vertical="center"/>
    </xf>
    <xf numFmtId="0" fontId="6" fillId="0" borderId="21" xfId="0" applyNumberFormat="1" applyFont="1" applyFill="1" applyBorder="1" applyAlignment="1">
      <alignment horizontal="centerContinuous" vertical="center"/>
    </xf>
    <xf numFmtId="166" fontId="6" fillId="0" borderId="19" xfId="0" applyNumberFormat="1" applyFont="1" applyFill="1" applyBorder="1" applyAlignment="1">
      <alignment horizontal="center"/>
    </xf>
    <xf numFmtId="166" fontId="6" fillId="0" borderId="2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horizontal="centerContinuous" vertical="center"/>
    </xf>
    <xf numFmtId="0" fontId="14" fillId="0" borderId="10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center"/>
    </xf>
    <xf numFmtId="166" fontId="6" fillId="0" borderId="12" xfId="0" applyNumberFormat="1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/>
    <xf numFmtId="0" fontId="6" fillId="0" borderId="10" xfId="0" applyNumberFormat="1" applyFont="1" applyFill="1" applyBorder="1" applyAlignment="1">
      <alignment horizontal="center"/>
    </xf>
    <xf numFmtId="9" fontId="6" fillId="0" borderId="11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166" fontId="6" fillId="0" borderId="15" xfId="0" applyNumberFormat="1" applyFont="1" applyFill="1" applyBorder="1" applyAlignment="1">
      <alignment horizontal="center"/>
    </xf>
    <xf numFmtId="9" fontId="6" fillId="0" borderId="14" xfId="0" applyNumberFormat="1" applyFont="1" applyFill="1" applyBorder="1" applyAlignment="1">
      <alignment horizontal="center"/>
    </xf>
    <xf numFmtId="166" fontId="6" fillId="0" borderId="14" xfId="0" quotePrefix="1" applyNumberFormat="1" applyFont="1" applyFill="1" applyBorder="1" applyAlignment="1">
      <alignment horizontal="center"/>
    </xf>
    <xf numFmtId="167" fontId="7" fillId="0" borderId="12" xfId="0" applyNumberFormat="1" applyFont="1" applyFill="1" applyBorder="1" applyAlignment="1">
      <alignment horizontal="right"/>
    </xf>
    <xf numFmtId="41" fontId="7" fillId="0" borderId="10" xfId="0" applyNumberFormat="1" applyFont="1" applyFill="1" applyBorder="1" applyAlignment="1"/>
    <xf numFmtId="41" fontId="7" fillId="0" borderId="11" xfId="0" applyNumberFormat="1" applyFont="1" applyFill="1" applyBorder="1" applyAlignment="1"/>
    <xf numFmtId="41" fontId="7" fillId="0" borderId="10" xfId="0" applyNumberFormat="1" applyFont="1" applyFill="1" applyBorder="1" applyAlignment="1">
      <alignment horizontal="center"/>
    </xf>
    <xf numFmtId="41" fontId="7" fillId="0" borderId="11" xfId="0" applyNumberFormat="1" applyFont="1" applyFill="1" applyBorder="1" applyAlignment="1">
      <alignment horizontal="left"/>
    </xf>
    <xf numFmtId="41" fontId="7" fillId="0" borderId="12" xfId="0" applyNumberFormat="1" applyFont="1" applyFill="1" applyBorder="1" applyAlignment="1"/>
    <xf numFmtId="165" fontId="7" fillId="0" borderId="11" xfId="0" applyNumberFormat="1" applyFont="1" applyFill="1" applyBorder="1" applyAlignment="1"/>
    <xf numFmtId="41" fontId="7" fillId="0" borderId="0" xfId="0" applyNumberFormat="1" applyFont="1" applyFill="1" applyBorder="1" applyAlignment="1"/>
    <xf numFmtId="164" fontId="7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/>
    <xf numFmtId="164" fontId="7" fillId="0" borderId="1" xfId="1" applyNumberFormat="1" applyFont="1" applyFill="1" applyBorder="1"/>
    <xf numFmtId="164" fontId="7" fillId="0" borderId="0" xfId="1" applyNumberFormat="1" applyFont="1" applyFill="1" applyBorder="1" applyAlignment="1">
      <alignment horizontal="left" indent="4"/>
    </xf>
    <xf numFmtId="164" fontId="7" fillId="0" borderId="1" xfId="1" applyNumberFormat="1" applyFont="1" applyFill="1" applyBorder="1" applyAlignment="1">
      <alignment horizontal="left" indent="4"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/>
    <xf numFmtId="165" fontId="7" fillId="0" borderId="0" xfId="0" applyNumberFormat="1" applyFont="1" applyFill="1" applyAlignment="1"/>
    <xf numFmtId="41" fontId="0" fillId="0" borderId="0" xfId="0" applyNumberFormat="1" applyFont="1" applyFill="1"/>
    <xf numFmtId="164" fontId="7" fillId="0" borderId="0" xfId="0" applyNumberFormat="1" applyFont="1" applyFill="1" applyBorder="1" applyAlignment="1"/>
    <xf numFmtId="0" fontId="16" fillId="0" borderId="0" xfId="0" applyFont="1" applyFill="1"/>
    <xf numFmtId="164" fontId="17" fillId="0" borderId="0" xfId="1" applyNumberFormat="1" applyFont="1" applyFill="1" applyBorder="1"/>
    <xf numFmtId="165" fontId="17" fillId="0" borderId="2" xfId="3" applyNumberFormat="1" applyFont="1" applyFill="1" applyBorder="1"/>
    <xf numFmtId="17" fontId="7" fillId="0" borderId="24" xfId="0" applyNumberFormat="1" applyFont="1" applyFill="1" applyBorder="1"/>
    <xf numFmtId="38" fontId="7" fillId="0" borderId="24" xfId="0" applyNumberFormat="1" applyFont="1" applyFill="1" applyBorder="1"/>
    <xf numFmtId="165" fontId="7" fillId="0" borderId="24" xfId="0" applyNumberFormat="1" applyFont="1" applyFill="1" applyBorder="1"/>
    <xf numFmtId="164" fontId="7" fillId="0" borderId="24" xfId="1" applyNumberFormat="1" applyFont="1" applyFill="1" applyBorder="1" applyAlignment="1">
      <alignment horizontal="left" indent="4"/>
    </xf>
    <xf numFmtId="41" fontId="7" fillId="0" borderId="24" xfId="0" applyNumberFormat="1" applyFont="1" applyFill="1" applyBorder="1"/>
    <xf numFmtId="165" fontId="7" fillId="0" borderId="23" xfId="0" applyNumberFormat="1" applyFont="1" applyFill="1" applyBorder="1"/>
    <xf numFmtId="165" fontId="7" fillId="0" borderId="25" xfId="0" applyNumberFormat="1" applyFont="1" applyFill="1" applyBorder="1" applyAlignment="1"/>
    <xf numFmtId="0" fontId="7" fillId="0" borderId="24" xfId="0" applyNumberFormat="1" applyFont="1" applyFill="1" applyBorder="1" applyAlignment="1"/>
    <xf numFmtId="43" fontId="0" fillId="0" borderId="0" xfId="3" applyNumberFormat="1" applyFont="1"/>
    <xf numFmtId="0" fontId="0" fillId="0" borderId="0" xfId="0" applyAlignment="1">
      <alignment horizontal="right"/>
    </xf>
    <xf numFmtId="164" fontId="0" fillId="0" borderId="3" xfId="0" applyNumberFormat="1" applyBorder="1"/>
    <xf numFmtId="9" fontId="7" fillId="0" borderId="0" xfId="2" applyNumberFormat="1" applyFont="1" applyFill="1" applyAlignment="1"/>
    <xf numFmtId="0" fontId="7" fillId="0" borderId="0" xfId="0" applyNumberFormat="1" applyFont="1" applyFill="1" applyAlignment="1">
      <alignment horizontal="center"/>
    </xf>
    <xf numFmtId="9" fontId="7" fillId="0" borderId="0" xfId="0" applyNumberFormat="1" applyFont="1" applyFill="1" applyAlignment="1">
      <alignment horizontal="center"/>
    </xf>
    <xf numFmtId="164" fontId="7" fillId="0" borderId="24" xfId="1" applyNumberFormat="1" applyFont="1" applyFill="1" applyBorder="1"/>
    <xf numFmtId="165" fontId="7" fillId="0" borderId="0" xfId="0" applyNumberFormat="1" applyFont="1" applyFill="1" applyBorder="1" applyAlignment="1"/>
    <xf numFmtId="17" fontId="7" fillId="0" borderId="2" xfId="0" applyNumberFormat="1" applyFont="1" applyFill="1" applyBorder="1"/>
    <xf numFmtId="0" fontId="7" fillId="0" borderId="2" xfId="0" applyNumberFormat="1" applyFont="1" applyFill="1" applyBorder="1" applyAlignment="1"/>
    <xf numFmtId="165" fontId="7" fillId="0" borderId="2" xfId="0" applyNumberFormat="1" applyFont="1" applyFill="1" applyBorder="1"/>
    <xf numFmtId="164" fontId="7" fillId="0" borderId="2" xfId="1" applyNumberFormat="1" applyFont="1" applyFill="1" applyBorder="1"/>
    <xf numFmtId="41" fontId="7" fillId="0" borderId="2" xfId="0" applyNumberFormat="1" applyFont="1" applyFill="1" applyBorder="1"/>
    <xf numFmtId="165" fontId="7" fillId="0" borderId="2" xfId="0" applyNumberFormat="1" applyFont="1" applyFill="1" applyBorder="1" applyAlignment="1"/>
    <xf numFmtId="41" fontId="7" fillId="0" borderId="26" xfId="0" applyNumberFormat="1" applyFont="1" applyFill="1" applyBorder="1" applyAlignment="1"/>
    <xf numFmtId="41" fontId="7" fillId="0" borderId="24" xfId="0" applyNumberFormat="1" applyFont="1" applyFill="1" applyBorder="1" applyAlignment="1"/>
    <xf numFmtId="41" fontId="7" fillId="0" borderId="19" xfId="0" applyNumberFormat="1" applyFont="1" applyFill="1" applyBorder="1" applyAlignment="1"/>
    <xf numFmtId="0" fontId="6" fillId="0" borderId="27" xfId="0" applyNumberFormat="1" applyFont="1" applyFill="1" applyBorder="1" applyAlignment="1">
      <alignment horizontal="centerContinuous" vertical="center"/>
    </xf>
    <xf numFmtId="0" fontId="6" fillId="0" borderId="28" xfId="0" applyNumberFormat="1" applyFont="1" applyFill="1" applyBorder="1" applyAlignment="1">
      <alignment horizontal="centerContinuous" vertical="center"/>
    </xf>
    <xf numFmtId="0" fontId="7" fillId="0" borderId="30" xfId="0" applyNumberFormat="1" applyFont="1" applyFill="1" applyBorder="1" applyAlignment="1">
      <alignment horizontal="centerContinuous"/>
    </xf>
    <xf numFmtId="0" fontId="7" fillId="0" borderId="31" xfId="0" applyNumberFormat="1" applyFont="1" applyFill="1" applyBorder="1" applyAlignment="1">
      <alignment horizontal="centerContinuous"/>
    </xf>
    <xf numFmtId="0" fontId="6" fillId="0" borderId="29" xfId="0" applyNumberFormat="1" applyFont="1" applyFill="1" applyBorder="1" applyAlignment="1">
      <alignment horizontal="centerContinuous"/>
    </xf>
    <xf numFmtId="167" fontId="8" fillId="0" borderId="0" xfId="0" applyNumberFormat="1" applyFont="1" applyFill="1" applyBorder="1" applyAlignment="1">
      <alignment horizontal="left"/>
    </xf>
    <xf numFmtId="9" fontId="6" fillId="0" borderId="12" xfId="0" applyNumberFormat="1" applyFont="1" applyFill="1" applyBorder="1" applyAlignment="1">
      <alignment horizontal="center"/>
    </xf>
    <xf numFmtId="9" fontId="6" fillId="0" borderId="15" xfId="0" applyNumberFormat="1" applyFont="1" applyFill="1" applyBorder="1" applyAlignment="1">
      <alignment horizontal="center"/>
    </xf>
    <xf numFmtId="165" fontId="7" fillId="0" borderId="12" xfId="0" applyNumberFormat="1" applyFont="1" applyFill="1" applyBorder="1" applyAlignment="1"/>
    <xf numFmtId="43" fontId="7" fillId="0" borderId="2" xfId="0" applyNumberFormat="1" applyFont="1" applyFill="1" applyBorder="1"/>
    <xf numFmtId="43" fontId="7" fillId="0" borderId="24" xfId="0" applyNumberFormat="1" applyFont="1" applyFill="1" applyBorder="1"/>
    <xf numFmtId="165" fontId="0" fillId="0" borderId="0" xfId="3" applyNumberFormat="1" applyFont="1"/>
    <xf numFmtId="164" fontId="0" fillId="0" borderId="2" xfId="0" applyNumberFormat="1" applyBorder="1"/>
    <xf numFmtId="9" fontId="0" fillId="0" borderId="0" xfId="2" applyFont="1"/>
    <xf numFmtId="164" fontId="0" fillId="0" borderId="0" xfId="0" applyNumberFormat="1"/>
    <xf numFmtId="165" fontId="0" fillId="0" borderId="0" xfId="0" applyNumberFormat="1"/>
    <xf numFmtId="0" fontId="0" fillId="0" borderId="0" xfId="0" applyFont="1" applyFill="1" applyAlignment="1">
      <alignment horizontal="center"/>
    </xf>
    <xf numFmtId="37" fontId="0" fillId="0" borderId="0" xfId="0" applyNumberFormat="1"/>
    <xf numFmtId="0" fontId="18" fillId="0" borderId="0" xfId="0" applyFont="1" applyFill="1"/>
    <xf numFmtId="0" fontId="17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indent="1"/>
    </xf>
    <xf numFmtId="164" fontId="17" fillId="0" borderId="0" xfId="1" applyNumberFormat="1" applyFont="1" applyFill="1"/>
    <xf numFmtId="164" fontId="19" fillId="0" borderId="0" xfId="1" applyNumberFormat="1" applyFont="1" applyFill="1"/>
    <xf numFmtId="164" fontId="19" fillId="0" borderId="0" xfId="0" applyNumberFormat="1" applyFont="1" applyFill="1"/>
    <xf numFmtId="165" fontId="17" fillId="0" borderId="0" xfId="3" applyNumberFormat="1" applyFont="1" applyFill="1"/>
    <xf numFmtId="0" fontId="17" fillId="0" borderId="0" xfId="0" applyFont="1" applyFill="1" applyAlignment="1">
      <alignment horizontal="left"/>
    </xf>
    <xf numFmtId="10" fontId="17" fillId="0" borderId="0" xfId="2" applyNumberFormat="1" applyFont="1" applyFill="1"/>
    <xf numFmtId="9" fontId="17" fillId="0" borderId="0" xfId="2" applyFont="1" applyFill="1"/>
    <xf numFmtId="164" fontId="17" fillId="0" borderId="2" xfId="1" applyNumberFormat="1" applyFont="1" applyFill="1" applyBorder="1"/>
    <xf numFmtId="0" fontId="17" fillId="0" borderId="0" xfId="0" applyFont="1" applyFill="1" applyAlignment="1"/>
    <xf numFmtId="166" fontId="17" fillId="0" borderId="0" xfId="1" applyNumberFormat="1" applyFont="1" applyFill="1"/>
    <xf numFmtId="164" fontId="17" fillId="0" borderId="3" xfId="1" applyNumberFormat="1" applyFont="1" applyFill="1" applyBorder="1"/>
    <xf numFmtId="164" fontId="17" fillId="0" borderId="0" xfId="1" applyNumberFormat="1" applyFont="1" applyFill="1" applyAlignment="1">
      <alignment horizontal="right"/>
    </xf>
    <xf numFmtId="42" fontId="17" fillId="0" borderId="0" xfId="0" applyNumberFormat="1" applyFont="1" applyFill="1"/>
    <xf numFmtId="0" fontId="13" fillId="0" borderId="0" xfId="0" applyNumberFormat="1" applyFont="1" applyFill="1" applyBorder="1" applyAlignment="1">
      <alignment horizontal="center"/>
    </xf>
    <xf numFmtId="164" fontId="0" fillId="0" borderId="0" xfId="1" applyNumberFormat="1" applyFont="1" applyFill="1"/>
    <xf numFmtId="165" fontId="6" fillId="0" borderId="0" xfId="0" applyNumberFormat="1" applyFont="1" applyFill="1" applyBorder="1"/>
    <xf numFmtId="164" fontId="17" fillId="0" borderId="0" xfId="1" applyNumberFormat="1" applyFont="1" applyFill="1" applyAlignment="1">
      <alignment horizontal="center"/>
    </xf>
    <xf numFmtId="164" fontId="17" fillId="0" borderId="0" xfId="1" applyNumberFormat="1" applyFont="1" applyFill="1" applyAlignment="1"/>
    <xf numFmtId="164" fontId="17" fillId="0" borderId="2" xfId="1" applyNumberFormat="1" applyFont="1" applyFill="1" applyBorder="1" applyAlignment="1"/>
    <xf numFmtId="165" fontId="17" fillId="0" borderId="0" xfId="3" applyNumberFormat="1" applyFont="1" applyFill="1" applyBorder="1"/>
    <xf numFmtId="164" fontId="17" fillId="0" borderId="0" xfId="1" applyNumberFormat="1" applyFont="1" applyFill="1" applyBorder="1" applyAlignment="1"/>
    <xf numFmtId="167" fontId="8" fillId="0" borderId="12" xfId="0" applyNumberFormat="1" applyFont="1" applyFill="1" applyBorder="1" applyAlignment="1">
      <alignment horizontal="right"/>
    </xf>
    <xf numFmtId="167" fontId="8" fillId="0" borderId="19" xfId="0" applyNumberFormat="1" applyFont="1" applyFill="1" applyBorder="1" applyAlignment="1">
      <alignment horizontal="right"/>
    </xf>
    <xf numFmtId="167" fontId="8" fillId="0" borderId="32" xfId="0" applyNumberFormat="1" applyFont="1" applyFill="1" applyBorder="1" applyAlignment="1">
      <alignment horizontal="right"/>
    </xf>
    <xf numFmtId="41" fontId="7" fillId="0" borderId="29" xfId="0" applyNumberFormat="1" applyFont="1" applyFill="1" applyBorder="1" applyAlignment="1"/>
    <xf numFmtId="41" fontId="7" fillId="0" borderId="30" xfId="0" applyNumberFormat="1" applyFont="1" applyFill="1" applyBorder="1" applyAlignment="1"/>
    <xf numFmtId="41" fontId="7" fillId="0" borderId="32" xfId="0" applyNumberFormat="1" applyFont="1" applyFill="1" applyBorder="1" applyAlignment="1"/>
    <xf numFmtId="0" fontId="0" fillId="0" borderId="0" xfId="0" applyFont="1" applyFill="1" applyAlignment="1"/>
    <xf numFmtId="41" fontId="17" fillId="0" borderId="0" xfId="1" applyNumberFormat="1" applyFont="1" applyFill="1" applyAlignment="1"/>
    <xf numFmtId="41" fontId="17" fillId="0" borderId="0" xfId="1" applyNumberFormat="1" applyFont="1" applyFill="1"/>
    <xf numFmtId="49" fontId="0" fillId="0" borderId="0" xfId="0" applyNumberFormat="1" applyFill="1"/>
    <xf numFmtId="37" fontId="0" fillId="0" borderId="0" xfId="0" applyNumberFormat="1" applyFill="1"/>
    <xf numFmtId="37" fontId="9" fillId="0" borderId="0" xfId="0" applyNumberFormat="1" applyFont="1" applyFill="1"/>
    <xf numFmtId="165" fontId="6" fillId="0" borderId="5" xfId="0" applyNumberFormat="1" applyFont="1" applyFill="1" applyBorder="1"/>
    <xf numFmtId="165" fontId="7" fillId="3" borderId="0" xfId="0" applyNumberFormat="1" applyFont="1" applyFill="1" applyBorder="1"/>
    <xf numFmtId="0" fontId="16" fillId="0" borderId="0" xfId="0" applyFont="1" applyAlignment="1">
      <alignment horizontal="center"/>
    </xf>
    <xf numFmtId="0" fontId="6" fillId="0" borderId="0" xfId="0" applyFont="1"/>
    <xf numFmtId="168" fontId="0" fillId="4" borderId="32" xfId="0" applyNumberFormat="1" applyFill="1" applyBorder="1" applyAlignment="1">
      <alignment horizontal="center"/>
    </xf>
    <xf numFmtId="165" fontId="7" fillId="0" borderId="0" xfId="3" applyNumberFormat="1" applyFont="1" applyFill="1"/>
    <xf numFmtId="167" fontId="8" fillId="3" borderId="12" xfId="0" applyNumberFormat="1" applyFont="1" applyFill="1" applyBorder="1" applyAlignment="1">
      <alignment horizontal="right"/>
    </xf>
    <xf numFmtId="41" fontId="7" fillId="3" borderId="11" xfId="0" applyNumberFormat="1" applyFont="1" applyFill="1" applyBorder="1" applyAlignment="1"/>
    <xf numFmtId="41" fontId="7" fillId="5" borderId="11" xfId="0" applyNumberFormat="1" applyFont="1" applyFill="1" applyBorder="1" applyAlignment="1"/>
    <xf numFmtId="41" fontId="7" fillId="3" borderId="0" xfId="0" applyNumberFormat="1" applyFont="1" applyFill="1" applyBorder="1" applyAlignment="1"/>
    <xf numFmtId="41" fontId="7" fillId="6" borderId="0" xfId="0" applyNumberFormat="1" applyFont="1" applyFill="1" applyBorder="1" applyAlignment="1"/>
    <xf numFmtId="164" fontId="17" fillId="0" borderId="0" xfId="0" applyNumberFormat="1" applyFont="1" applyFill="1"/>
    <xf numFmtId="169" fontId="19" fillId="0" borderId="0" xfId="0" applyNumberFormat="1" applyFont="1" applyFill="1"/>
    <xf numFmtId="41" fontId="0" fillId="0" borderId="0" xfId="0" applyNumberFormat="1" applyFill="1"/>
    <xf numFmtId="10" fontId="19" fillId="0" borderId="0" xfId="2" applyNumberFormat="1" applyFont="1" applyFill="1"/>
    <xf numFmtId="9" fontId="19" fillId="0" borderId="0" xfId="2" applyNumberFormat="1" applyFont="1" applyFill="1"/>
    <xf numFmtId="43" fontId="17" fillId="0" borderId="0" xfId="3" applyFont="1" applyFill="1"/>
    <xf numFmtId="41" fontId="7" fillId="5" borderId="32" xfId="0" applyNumberFormat="1" applyFont="1" applyFill="1" applyBorder="1" applyAlignment="1"/>
    <xf numFmtId="41" fontId="7" fillId="5" borderId="33" xfId="0" applyNumberFormat="1" applyFont="1" applyFill="1" applyBorder="1" applyAlignment="1"/>
    <xf numFmtId="10" fontId="1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1" fontId="7" fillId="6" borderId="34" xfId="0" applyNumberFormat="1" applyFont="1" applyFill="1" applyBorder="1" applyAlignment="1"/>
    <xf numFmtId="41" fontId="7" fillId="6" borderId="30" xfId="0" applyNumberFormat="1" applyFont="1" applyFill="1" applyBorder="1" applyAlignment="1"/>
    <xf numFmtId="10" fontId="15" fillId="0" borderId="35" xfId="0" applyNumberFormat="1" applyFont="1" applyFill="1" applyBorder="1" applyAlignment="1">
      <alignment horizontal="center"/>
    </xf>
    <xf numFmtId="41" fontId="7" fillId="0" borderId="22" xfId="0" applyNumberFormat="1" applyFont="1" applyFill="1" applyBorder="1" applyAlignment="1"/>
    <xf numFmtId="41" fontId="7" fillId="0" borderId="31" xfId="0" applyNumberFormat="1" applyFont="1" applyFill="1" applyBorder="1" applyAlignment="1"/>
    <xf numFmtId="9" fontId="0" fillId="0" borderId="0" xfId="0" applyNumberFormat="1" applyFont="1" applyFill="1"/>
    <xf numFmtId="43" fontId="7" fillId="0" borderId="0" xfId="0" applyNumberFormat="1" applyFont="1" applyFill="1"/>
    <xf numFmtId="0" fontId="21" fillId="0" borderId="0" xfId="0" applyNumberFormat="1" applyFont="1" applyFill="1" applyAlignment="1">
      <alignment horizontal="left"/>
    </xf>
    <xf numFmtId="166" fontId="21" fillId="0" borderId="0" xfId="0" applyNumberFormat="1" applyFont="1" applyFill="1" applyAlignment="1"/>
  </cellXfs>
  <cellStyles count="5">
    <cellStyle name="Comma" xfId="3" builtinId="3"/>
    <cellStyle name="Currency" xfId="1" builtinId="4"/>
    <cellStyle name="Normal" xfId="0" builtinId="0"/>
    <cellStyle name="Normal 5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24</xdr:row>
      <xdr:rowOff>0</xdr:rowOff>
    </xdr:from>
    <xdr:to>
      <xdr:col>26</xdr:col>
      <xdr:colOff>351771</xdr:colOff>
      <xdr:row>43</xdr:row>
      <xdr:rowOff>18594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59075" y="4600575"/>
          <a:ext cx="5228571" cy="364761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17</xdr:col>
      <xdr:colOff>189790</xdr:colOff>
      <xdr:row>22</xdr:row>
      <xdr:rowOff>56738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952500"/>
          <a:ext cx="5676190" cy="329523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eweb/office/FINANCIALS/WHITE%20SWAN/2000/JAN_ELECTRONI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Data-Departmental\1active\PROJECTS\STOWE\stowhot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tility\Energy%20Rates%20Finance%20and%20Audit\Moya's%20files\Pacificorp%20LT%20debt\PAC%20LT%20Debt%20-%20workin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UC-FILEPRINT\Agency\Utility\Energy%20Rates%20Finance%20and%20Audit\Moya's%20files\Pacificorp%20LT%20debt\PAC%20LT%20Debt%20-%20workin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G22">
            <v>1931963666</v>
          </cell>
        </row>
        <row r="23"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"/>
      <sheetName val="AR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ent"/>
      <sheetName val="#REF"/>
    </sheetNames>
    <sheetDataSet>
      <sheetData sheetId="0" refreshError="1">
        <row r="3">
          <cell r="C3" t="str">
            <v>Base Assumptions</v>
          </cell>
        </row>
        <row r="16">
          <cell r="B16" t="str">
            <v>Other Consultants</v>
          </cell>
          <cell r="E16">
            <v>40296.682871109319</v>
          </cell>
          <cell r="F16">
            <v>0</v>
          </cell>
          <cell r="G16">
            <v>0</v>
          </cell>
          <cell r="H16">
            <v>40296.682871109319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40296.682871109319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40296.682871109319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</row>
        <row r="21">
          <cell r="B21" t="str">
            <v>Insurance (% direct construction)</v>
          </cell>
          <cell r="D21">
            <v>8.9999999999999993E-3</v>
          </cell>
          <cell r="E21">
            <v>85383.376030864485</v>
          </cell>
          <cell r="F21">
            <v>0</v>
          </cell>
          <cell r="G21">
            <v>16506</v>
          </cell>
          <cell r="H21">
            <v>68877.376030864485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85383.376030864485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8253</v>
          </cell>
          <cell r="AB21">
            <v>8253</v>
          </cell>
          <cell r="AC21">
            <v>18248.426186763256</v>
          </cell>
          <cell r="AD21">
            <v>16751.760417341211</v>
          </cell>
          <cell r="AE21">
            <v>16876.009426760018</v>
          </cell>
          <cell r="AF21">
            <v>17001.179999999989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</row>
        <row r="36">
          <cell r="B36" t="str">
            <v>Other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</row>
        <row r="46">
          <cell r="B46" t="str">
            <v>Spa and Fitness</v>
          </cell>
          <cell r="C46">
            <v>5100</v>
          </cell>
          <cell r="D46">
            <v>45</v>
          </cell>
          <cell r="E46">
            <v>238138.28451217926</v>
          </cell>
          <cell r="F46">
            <v>0</v>
          </cell>
          <cell r="G46">
            <v>0</v>
          </cell>
          <cell r="H46">
            <v>0</v>
          </cell>
          <cell r="I46">
            <v>238138.28451217926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238138.28451217926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238138.28451217926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</row>
        <row r="85">
          <cell r="B85" t="str">
            <v>Hotel Development Cost</v>
          </cell>
          <cell r="E85">
            <v>-16878685.151613597</v>
          </cell>
          <cell r="F85">
            <v>-179400</v>
          </cell>
          <cell r="G85">
            <v>-3680748.3397686705</v>
          </cell>
          <cell r="H85">
            <v>-10268133.01329181</v>
          </cell>
          <cell r="I85">
            <v>-2750403.7985531162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-16878685.151613597</v>
          </cell>
          <cell r="U85">
            <v>0</v>
          </cell>
          <cell r="V85">
            <v>-35880</v>
          </cell>
          <cell r="W85">
            <v>-71760</v>
          </cell>
          <cell r="X85">
            <v>-71760</v>
          </cell>
          <cell r="Y85">
            <v>-71760</v>
          </cell>
          <cell r="Z85">
            <v>-71760</v>
          </cell>
          <cell r="AA85">
            <v>-1211264.6078000001</v>
          </cell>
          <cell r="AB85">
            <v>-2325963.7319686706</v>
          </cell>
          <cell r="AC85">
            <v>-3277714.7933725528</v>
          </cell>
          <cell r="AD85">
            <v>-2312941.7387162838</v>
          </cell>
          <cell r="AE85">
            <v>-2330096.9927229751</v>
          </cell>
          <cell r="AF85">
            <v>-2347379.4884799989</v>
          </cell>
          <cell r="AG85">
            <v>-2750403.7985531162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9">
          <cell r="B89" t="str">
            <v>Selling Costs</v>
          </cell>
          <cell r="C89">
            <v>2.5000000000000001E-2</v>
          </cell>
          <cell r="E89">
            <v>-376100.18403468747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-376100.18403468747</v>
          </cell>
          <cell r="R89">
            <v>0</v>
          </cell>
          <cell r="S89">
            <v>-376100.18403468747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-376100.18403468747</v>
          </cell>
        </row>
        <row r="91">
          <cell r="A91" t="str">
            <v>Cumulative Cash Flow</v>
          </cell>
          <cell r="F91">
            <v>-179400</v>
          </cell>
          <cell r="G91">
            <v>-3860148.3397686705</v>
          </cell>
          <cell r="H91">
            <v>-14128281.35306048</v>
          </cell>
          <cell r="I91">
            <v>-16523543.829363404</v>
          </cell>
          <cell r="J91">
            <v>-15468369.525907626</v>
          </cell>
          <cell r="K91">
            <v>-14241253.574376589</v>
          </cell>
          <cell r="L91">
            <v>-12930255.245524464</v>
          </cell>
          <cell r="M91">
            <v>-11573371.975162519</v>
          </cell>
          <cell r="N91">
            <v>-10158300.642819315</v>
          </cell>
          <cell r="O91">
            <v>-8704773.3615258411</v>
          </cell>
          <cell r="P91">
            <v>7467534.55196572</v>
          </cell>
          <cell r="U91">
            <v>0</v>
          </cell>
          <cell r="V91">
            <v>-35880</v>
          </cell>
          <cell r="W91">
            <v>-107640</v>
          </cell>
          <cell r="X91">
            <v>-179400</v>
          </cell>
          <cell r="Y91">
            <v>-251160</v>
          </cell>
          <cell r="Z91">
            <v>-322920</v>
          </cell>
          <cell r="AA91">
            <v>-1534184.6078000001</v>
          </cell>
          <cell r="AB91">
            <v>-3860148.3397686705</v>
          </cell>
          <cell r="AC91">
            <v>-7137863.1331412233</v>
          </cell>
          <cell r="AD91">
            <v>-9450804.8718575072</v>
          </cell>
          <cell r="AE91">
            <v>-11780901.864580482</v>
          </cell>
          <cell r="AF91">
            <v>-14128281.35306048</v>
          </cell>
          <cell r="AG91">
            <v>-16789899.82105105</v>
          </cell>
          <cell r="AH91">
            <v>-16701114.490488501</v>
          </cell>
          <cell r="AI91">
            <v>-16612329.159925953</v>
          </cell>
          <cell r="AJ91">
            <v>-16523543.829363404</v>
          </cell>
          <cell r="AK91">
            <v>-16259750.253499459</v>
          </cell>
          <cell r="AL91">
            <v>-15995956.677635515</v>
          </cell>
          <cell r="AM91">
            <v>-15732163.101771571</v>
          </cell>
          <cell r="AN91">
            <v>-15468369.525907626</v>
          </cell>
          <cell r="AO91">
            <v>-15161590.538024867</v>
          </cell>
          <cell r="AP91">
            <v>-14854811.550142108</v>
          </cell>
          <cell r="AQ91">
            <v>-14548032.562259348</v>
          </cell>
          <cell r="AR91">
            <v>-14241253.574376589</v>
          </cell>
          <cell r="AS91">
            <v>-13913503.992163558</v>
          </cell>
          <cell r="AT91">
            <v>-13585754.409950526</v>
          </cell>
          <cell r="AU91">
            <v>-13258004.827737495</v>
          </cell>
          <cell r="AV91">
            <v>-12930255.245524464</v>
          </cell>
          <cell r="AW91">
            <v>-12591034.427933978</v>
          </cell>
          <cell r="AX91">
            <v>-12251813.610343492</v>
          </cell>
          <cell r="AY91">
            <v>-11912592.792753005</v>
          </cell>
          <cell r="AZ91">
            <v>-11573371.975162519</v>
          </cell>
          <cell r="BA91">
            <v>-11219604.14207672</v>
          </cell>
          <cell r="BB91">
            <v>-10865836.308990918</v>
          </cell>
          <cell r="BC91">
            <v>-10512068.475905117</v>
          </cell>
          <cell r="BD91">
            <v>-10158300.642819315</v>
          </cell>
          <cell r="BE91">
            <v>-9794918.8224959467</v>
          </cell>
          <cell r="BF91">
            <v>-9431537.0021725781</v>
          </cell>
          <cell r="BG91">
            <v>-9068155.1818492096</v>
          </cell>
          <cell r="BH91">
            <v>-8704773.3615258411</v>
          </cell>
          <cell r="BI91">
            <v>-8328673.1774911536</v>
          </cell>
          <cell r="BJ91">
            <v>-7952572.9934564661</v>
          </cell>
          <cell r="BK91">
            <v>-7576472.8094217787</v>
          </cell>
          <cell r="BL91">
            <v>7467534.55196572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zoomScale="85" zoomScaleNormal="85" workbookViewId="0">
      <pane ySplit="5" topLeftCell="A6" activePane="bottomLeft" state="frozen"/>
      <selection pane="bottomLeft" activeCell="G30" sqref="G30"/>
    </sheetView>
  </sheetViews>
  <sheetFormatPr defaultColWidth="8.7109375" defaultRowHeight="15.75" x14ac:dyDescent="0.25"/>
  <cols>
    <col min="1" max="1" width="9.28515625" style="178" customWidth="1"/>
    <col min="2" max="2" width="54.85546875" style="178" bestFit="1" customWidth="1"/>
    <col min="3" max="3" width="17.140625" style="178" customWidth="1"/>
    <col min="4" max="4" width="1.5703125" style="178" customWidth="1"/>
    <col min="5" max="5" width="18.85546875" style="178" bestFit="1" customWidth="1"/>
    <col min="6" max="6" width="16.5703125" style="178" customWidth="1"/>
    <col min="7" max="7" width="18.28515625" style="178" bestFit="1" customWidth="1"/>
    <col min="8" max="16384" width="8.7109375" style="178"/>
  </cols>
  <sheetData>
    <row r="1" spans="1:12" x14ac:dyDescent="0.25">
      <c r="A1" s="131" t="s">
        <v>135</v>
      </c>
    </row>
    <row r="2" spans="1:12" x14ac:dyDescent="0.25">
      <c r="A2" s="131" t="s">
        <v>180</v>
      </c>
      <c r="E2" s="28"/>
      <c r="F2" s="28"/>
      <c r="G2" s="28"/>
      <c r="H2" s="28"/>
      <c r="I2" s="28"/>
      <c r="J2" s="28"/>
      <c r="K2" s="28"/>
      <c r="L2" s="28"/>
    </row>
    <row r="4" spans="1:12" x14ac:dyDescent="0.25">
      <c r="C4" s="219" t="s">
        <v>187</v>
      </c>
      <c r="D4" s="179"/>
      <c r="F4" s="179" t="s">
        <v>189</v>
      </c>
    </row>
    <row r="5" spans="1:12" x14ac:dyDescent="0.25">
      <c r="A5" s="180" t="s">
        <v>143</v>
      </c>
      <c r="B5" s="180" t="s">
        <v>15</v>
      </c>
      <c r="C5" s="219" t="s">
        <v>188</v>
      </c>
      <c r="D5" s="180"/>
      <c r="F5" s="180" t="s">
        <v>138</v>
      </c>
      <c r="G5" s="178" t="s">
        <v>196</v>
      </c>
    </row>
    <row r="6" spans="1:12" x14ac:dyDescent="0.25">
      <c r="B6" s="181" t="s">
        <v>132</v>
      </c>
    </row>
    <row r="7" spans="1:12" x14ac:dyDescent="0.25">
      <c r="A7" s="182">
        <f>ROW()</f>
        <v>7</v>
      </c>
      <c r="B7" s="183" t="s">
        <v>80</v>
      </c>
      <c r="C7" s="184">
        <f>'Plant Additions'!C50</f>
        <v>242655485.57000002</v>
      </c>
      <c r="D7" s="184"/>
      <c r="E7" s="185"/>
      <c r="F7" s="186">
        <v>243198713.57000002</v>
      </c>
      <c r="G7" s="228">
        <f>C7-F7</f>
        <v>-543228</v>
      </c>
    </row>
    <row r="8" spans="1:12" x14ac:dyDescent="0.25">
      <c r="A8" s="182">
        <f>ROW()</f>
        <v>8</v>
      </c>
      <c r="B8" s="183" t="s">
        <v>81</v>
      </c>
      <c r="C8" s="187">
        <f>'Plant Additions'!C51</f>
        <v>-13891779.76105734</v>
      </c>
      <c r="D8" s="187"/>
      <c r="E8" s="185"/>
      <c r="F8" s="186">
        <v>-13922882.476620706</v>
      </c>
      <c r="G8" s="228">
        <f t="shared" ref="G8:G26" si="0">C8-F8</f>
        <v>31102.71556336619</v>
      </c>
    </row>
    <row r="9" spans="1:12" x14ac:dyDescent="0.25">
      <c r="A9" s="182">
        <f>ROW()</f>
        <v>9</v>
      </c>
      <c r="B9" s="183" t="s">
        <v>200</v>
      </c>
      <c r="C9" s="187">
        <f>'Plant Additions'!C52</f>
        <v>-3769688.9179613441</v>
      </c>
      <c r="D9" s="187"/>
      <c r="E9" s="185"/>
      <c r="F9" s="186">
        <v>-3877235.2276930367</v>
      </c>
      <c r="G9" s="228">
        <f t="shared" si="0"/>
        <v>107546.30973169254</v>
      </c>
    </row>
    <row r="10" spans="1:12" x14ac:dyDescent="0.25">
      <c r="A10" s="182">
        <f>ROW()</f>
        <v>10</v>
      </c>
      <c r="B10" s="183" t="s">
        <v>131</v>
      </c>
      <c r="C10" s="133">
        <f>SUM(C7:C9)</f>
        <v>224994016.89098132</v>
      </c>
      <c r="D10" s="203"/>
      <c r="E10" s="185"/>
      <c r="F10" s="186">
        <v>225398595.86568627</v>
      </c>
      <c r="G10" s="228">
        <f t="shared" si="0"/>
        <v>-404578.97470495105</v>
      </c>
    </row>
    <row r="11" spans="1:12" x14ac:dyDescent="0.25">
      <c r="A11" s="182"/>
      <c r="C11" s="133"/>
      <c r="D11" s="203"/>
      <c r="E11" s="185"/>
      <c r="F11" s="186"/>
      <c r="G11" s="228"/>
    </row>
    <row r="12" spans="1:12" x14ac:dyDescent="0.25">
      <c r="A12" s="182"/>
      <c r="B12" s="181" t="s">
        <v>133</v>
      </c>
      <c r="C12" s="187"/>
      <c r="D12" s="187"/>
      <c r="E12" s="185"/>
      <c r="F12" s="186"/>
      <c r="G12" s="228"/>
    </row>
    <row r="13" spans="1:12" x14ac:dyDescent="0.25">
      <c r="A13" s="182">
        <f>ROW()</f>
        <v>13</v>
      </c>
      <c r="B13" s="183" t="s">
        <v>175</v>
      </c>
      <c r="C13" s="200">
        <f>'LNG Depreciation Deferral'!E59</f>
        <v>10746030.725830838</v>
      </c>
      <c r="D13" s="200"/>
      <c r="E13" s="185"/>
      <c r="F13" s="186">
        <v>10770091.317115707</v>
      </c>
      <c r="G13" s="228">
        <f t="shared" si="0"/>
        <v>-24060.591284869239</v>
      </c>
    </row>
    <row r="14" spans="1:12" x14ac:dyDescent="0.25">
      <c r="A14" s="182">
        <f>ROW()</f>
        <v>14</v>
      </c>
      <c r="B14" s="183" t="s">
        <v>176</v>
      </c>
      <c r="C14" s="212">
        <f>'LNG O&amp;M Deferral'!E59</f>
        <v>8879093.6488682032</v>
      </c>
      <c r="D14" s="201"/>
      <c r="E14" s="185"/>
      <c r="F14" s="186">
        <v>8879093.6488682032</v>
      </c>
      <c r="G14" s="228">
        <f t="shared" si="0"/>
        <v>0</v>
      </c>
    </row>
    <row r="15" spans="1:12" x14ac:dyDescent="0.25">
      <c r="A15" s="182">
        <f>ROW()</f>
        <v>15</v>
      </c>
      <c r="B15" s="183" t="s">
        <v>149</v>
      </c>
      <c r="C15" s="212">
        <f>'LNG Depreciation Deferral'!$H$59</f>
        <v>-1343253.8407288545</v>
      </c>
      <c r="D15" s="201"/>
      <c r="E15" s="185"/>
      <c r="F15" s="186">
        <v>-1346261.4146394632</v>
      </c>
      <c r="G15" s="228">
        <f t="shared" si="0"/>
        <v>3007.5739106086548</v>
      </c>
    </row>
    <row r="16" spans="1:12" x14ac:dyDescent="0.25">
      <c r="A16" s="182">
        <f>ROW()</f>
        <v>16</v>
      </c>
      <c r="B16" s="183" t="s">
        <v>150</v>
      </c>
      <c r="C16" s="212">
        <f>'LNG O&amp;M Deferral'!H59</f>
        <v>-1109886.7061085256</v>
      </c>
      <c r="D16" s="201"/>
      <c r="E16" s="185"/>
      <c r="F16" s="186">
        <v>-1109886.7061085256</v>
      </c>
      <c r="G16" s="228">
        <f t="shared" si="0"/>
        <v>0</v>
      </c>
    </row>
    <row r="17" spans="1:7" x14ac:dyDescent="0.25">
      <c r="A17" s="182">
        <f>ROW()</f>
        <v>17</v>
      </c>
      <c r="B17" s="183" t="s">
        <v>151</v>
      </c>
      <c r="C17" s="212">
        <f>'LNG Depreciation Deferral'!L59</f>
        <v>-1974583.1458714167</v>
      </c>
      <c r="D17" s="201"/>
      <c r="E17" s="185"/>
      <c r="F17" s="186">
        <v>-1979004.2795200106</v>
      </c>
      <c r="G17" s="228">
        <f t="shared" si="0"/>
        <v>4421.13364859391</v>
      </c>
    </row>
    <row r="18" spans="1:7" x14ac:dyDescent="0.25">
      <c r="A18" s="182">
        <f>ROW()</f>
        <v>18</v>
      </c>
      <c r="B18" s="183" t="s">
        <v>152</v>
      </c>
      <c r="C18" s="212">
        <f>'LNG O&amp;M Deferral'!$L$59</f>
        <v>-1631533.4579795317</v>
      </c>
      <c r="D18" s="201"/>
      <c r="E18" s="185"/>
      <c r="F18" s="186">
        <v>-1631533.4579795317</v>
      </c>
      <c r="G18" s="228">
        <f t="shared" si="0"/>
        <v>0</v>
      </c>
    </row>
    <row r="19" spans="1:7" x14ac:dyDescent="0.25">
      <c r="A19" s="182">
        <f>ROW()</f>
        <v>19</v>
      </c>
      <c r="B19" s="183" t="s">
        <v>38</v>
      </c>
      <c r="C19" s="202">
        <f>SUM(C13:C18)</f>
        <v>13565867.224010715</v>
      </c>
      <c r="D19" s="204"/>
      <c r="E19" s="185"/>
      <c r="F19" s="186">
        <v>13582499.107736383</v>
      </c>
      <c r="G19" s="228">
        <f t="shared" si="0"/>
        <v>-16631.883725667372</v>
      </c>
    </row>
    <row r="20" spans="1:7" x14ac:dyDescent="0.25">
      <c r="A20" s="182"/>
      <c r="C20" s="133"/>
      <c r="D20" s="203"/>
      <c r="E20" s="185"/>
      <c r="F20" s="186"/>
      <c r="G20" s="228"/>
    </row>
    <row r="21" spans="1:7" x14ac:dyDescent="0.25">
      <c r="A21" s="182">
        <f>ROW()</f>
        <v>21</v>
      </c>
      <c r="B21" s="188" t="s">
        <v>39</v>
      </c>
      <c r="C21" s="132">
        <f>C10+C19</f>
        <v>238559884.11499202</v>
      </c>
      <c r="D21" s="132"/>
      <c r="E21" s="185"/>
      <c r="F21" s="186">
        <v>238981094.97342265</v>
      </c>
      <c r="G21" s="228">
        <f t="shared" si="0"/>
        <v>-421210.85843062401</v>
      </c>
    </row>
    <row r="22" spans="1:7" x14ac:dyDescent="0.25">
      <c r="A22" s="182"/>
      <c r="C22" s="132"/>
      <c r="D22" s="132"/>
      <c r="E22" s="185"/>
      <c r="F22" s="186"/>
      <c r="G22" s="228">
        <f t="shared" si="0"/>
        <v>0</v>
      </c>
    </row>
    <row r="23" spans="1:7" x14ac:dyDescent="0.25">
      <c r="A23" s="182">
        <f>ROW()</f>
        <v>23</v>
      </c>
      <c r="B23" s="178" t="s">
        <v>139</v>
      </c>
      <c r="C23" s="189">
        <f>ROUND(ROR!E6,4)</f>
        <v>7.1599999999999997E-2</v>
      </c>
      <c r="D23" s="189"/>
      <c r="E23" s="185"/>
      <c r="F23" s="231">
        <v>7.1599999999999997E-2</v>
      </c>
      <c r="G23" s="233">
        <f t="shared" si="0"/>
        <v>0</v>
      </c>
    </row>
    <row r="24" spans="1:7" x14ac:dyDescent="0.25">
      <c r="A24" s="182">
        <f>ROW()</f>
        <v>24</v>
      </c>
      <c r="B24" s="178" t="s">
        <v>140</v>
      </c>
      <c r="C24" s="189">
        <f>ROR!E4</f>
        <v>2.5500000000000002E-2</v>
      </c>
      <c r="D24" s="189"/>
      <c r="E24" s="185"/>
      <c r="F24" s="231">
        <v>2.5500000000000002E-2</v>
      </c>
      <c r="G24" s="233">
        <f t="shared" si="0"/>
        <v>0</v>
      </c>
    </row>
    <row r="25" spans="1:7" x14ac:dyDescent="0.25">
      <c r="A25" s="182">
        <f>ROW()</f>
        <v>25</v>
      </c>
      <c r="B25" s="178" t="s">
        <v>141</v>
      </c>
      <c r="C25" s="190">
        <v>0.21</v>
      </c>
      <c r="D25" s="190"/>
      <c r="E25" s="185"/>
      <c r="F25" s="232">
        <v>0.21</v>
      </c>
      <c r="G25" s="233">
        <f t="shared" si="0"/>
        <v>0</v>
      </c>
    </row>
    <row r="26" spans="1:7" x14ac:dyDescent="0.25">
      <c r="A26" s="182">
        <f>ROW()</f>
        <v>26</v>
      </c>
      <c r="B26" s="178" t="s">
        <v>174</v>
      </c>
      <c r="C26" s="191">
        <f>C21*C23</f>
        <v>17080887.702633429</v>
      </c>
      <c r="D26" s="132"/>
      <c r="E26" s="185"/>
      <c r="F26" s="186">
        <v>17111046.400097061</v>
      </c>
      <c r="G26" s="228">
        <f t="shared" si="0"/>
        <v>-30158.69746363163</v>
      </c>
    </row>
    <row r="27" spans="1:7" x14ac:dyDescent="0.25">
      <c r="A27" s="182"/>
      <c r="C27" s="132"/>
      <c r="D27" s="132"/>
      <c r="E27" s="185"/>
      <c r="F27" s="186"/>
      <c r="G27" s="228"/>
    </row>
    <row r="28" spans="1:7" x14ac:dyDescent="0.25">
      <c r="A28" s="182"/>
      <c r="B28" s="131" t="s">
        <v>142</v>
      </c>
      <c r="C28" s="132"/>
      <c r="D28" s="132"/>
      <c r="E28" s="185"/>
      <c r="F28" s="186"/>
      <c r="G28" s="228"/>
    </row>
    <row r="29" spans="1:7" x14ac:dyDescent="0.25">
      <c r="A29" s="182">
        <f>ROW()</f>
        <v>29</v>
      </c>
      <c r="B29" s="183" t="s">
        <v>16</v>
      </c>
      <c r="C29" s="184">
        <f>'O&amp;M'!U27</f>
        <v>-4244174.6789823789</v>
      </c>
      <c r="D29" s="184"/>
      <c r="E29" s="185"/>
      <c r="F29" s="186">
        <v>-4244174.6789823789</v>
      </c>
      <c r="G29" s="228">
        <f>C29-F29</f>
        <v>0</v>
      </c>
    </row>
    <row r="30" spans="1:7" x14ac:dyDescent="0.25">
      <c r="A30" s="182">
        <f>ROW()</f>
        <v>30</v>
      </c>
      <c r="B30" s="183" t="s">
        <v>17</v>
      </c>
      <c r="C30" s="213">
        <f>-SUM('Plant Additions'!F33:F44)*0.79</f>
        <v>-4970283.4756578729</v>
      </c>
      <c r="D30" s="184"/>
      <c r="E30" s="185"/>
      <c r="F30" s="186">
        <v>-4981410.0320178997</v>
      </c>
      <c r="G30" s="228">
        <f>C30-F30</f>
        <v>11126.556360026821</v>
      </c>
    </row>
    <row r="31" spans="1:7" x14ac:dyDescent="0.25">
      <c r="A31" s="182">
        <f>ROW()</f>
        <v>31</v>
      </c>
      <c r="B31" s="183" t="s">
        <v>136</v>
      </c>
      <c r="C31" s="213">
        <f>'Total Deferrals'!D10</f>
        <v>-7091842.8389447341</v>
      </c>
      <c r="D31" s="184"/>
      <c r="E31" s="185"/>
      <c r="F31" s="186">
        <v>-10823500.59966886</v>
      </c>
      <c r="G31" s="228">
        <f>C31-F31</f>
        <v>3731657.7607241264</v>
      </c>
    </row>
    <row r="32" spans="1:7" ht="15.95" customHeight="1" x14ac:dyDescent="0.25">
      <c r="A32" s="182">
        <f>ROW()</f>
        <v>32</v>
      </c>
      <c r="B32" s="183" t="s">
        <v>179</v>
      </c>
      <c r="C32" s="213">
        <f>C21*C24*C25</f>
        <v>1277488.1794357824</v>
      </c>
      <c r="D32" s="184"/>
      <c r="E32" s="185"/>
      <c r="F32" s="186">
        <v>1279743.7635826783</v>
      </c>
      <c r="G32" s="228">
        <f>C32-F32</f>
        <v>-2255.5841468959115</v>
      </c>
    </row>
    <row r="33" spans="1:7" x14ac:dyDescent="0.25">
      <c r="A33" s="182">
        <f>ROW()</f>
        <v>33</v>
      </c>
      <c r="B33" s="192" t="s">
        <v>40</v>
      </c>
      <c r="C33" s="191">
        <f>C26-SUM(C29:C32)</f>
        <v>32109700.516782634</v>
      </c>
      <c r="D33" s="132"/>
      <c r="E33" s="185"/>
      <c r="F33" s="186">
        <v>35880387.94718352</v>
      </c>
      <c r="G33" s="228">
        <f>C33-F33</f>
        <v>-3770687.4304008856</v>
      </c>
    </row>
    <row r="34" spans="1:7" x14ac:dyDescent="0.25">
      <c r="A34" s="182"/>
      <c r="B34" s="192"/>
      <c r="C34" s="132"/>
      <c r="D34" s="132"/>
      <c r="E34" s="185"/>
      <c r="F34" s="186"/>
      <c r="G34" s="228"/>
    </row>
    <row r="35" spans="1:7" x14ac:dyDescent="0.25">
      <c r="A35" s="182">
        <f>ROW()</f>
        <v>35</v>
      </c>
      <c r="B35" s="183" t="s">
        <v>18</v>
      </c>
      <c r="C35" s="193">
        <f>'Gas Conv Factor'!F24</f>
        <v>0.75243099999999996</v>
      </c>
      <c r="D35" s="193"/>
      <c r="E35" s="185"/>
      <c r="F35" s="229">
        <v>0.75322100000000003</v>
      </c>
      <c r="G35" s="193">
        <f>C35-F35</f>
        <v>-7.9000000000006843E-4</v>
      </c>
    </row>
    <row r="36" spans="1:7" ht="16.5" thickBot="1" x14ac:dyDescent="0.3">
      <c r="A36" s="182">
        <f>ROW()</f>
        <v>36</v>
      </c>
      <c r="B36" s="183" t="s">
        <v>42</v>
      </c>
      <c r="C36" s="194">
        <f>C33/C35</f>
        <v>42674611.38201727</v>
      </c>
      <c r="D36" s="132"/>
      <c r="E36" s="185"/>
      <c r="F36" s="186">
        <v>47635936.793030888</v>
      </c>
      <c r="G36" s="228">
        <f>C36-F36</f>
        <v>-4961325.4110136181</v>
      </c>
    </row>
    <row r="37" spans="1:7" ht="16.5" thickTop="1" x14ac:dyDescent="0.25">
      <c r="A37" s="182"/>
      <c r="B37" s="183"/>
      <c r="C37" s="195"/>
      <c r="D37" s="195"/>
      <c r="E37" s="185"/>
      <c r="F37" s="186"/>
    </row>
    <row r="38" spans="1:7" x14ac:dyDescent="0.25">
      <c r="A38" s="182"/>
      <c r="C38" s="196"/>
      <c r="D38" s="196"/>
    </row>
    <row r="39" spans="1:7" x14ac:dyDescent="0.25">
      <c r="A39" s="182"/>
    </row>
  </sheetData>
  <printOptions horizontalCentered="1"/>
  <pageMargins left="0.7" right="0.7" top="0.75" bottom="0.75" header="0.3" footer="0.3"/>
  <pageSetup orientation="portrait" r:id="rId1"/>
  <headerFooter>
    <oddFooter>&amp;R&amp;"Times New Roman,Regular"&amp;10Exh. SEF-3 page 1 of 16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25"/>
  <sheetViews>
    <sheetView workbookViewId="0">
      <selection activeCell="B5" sqref="B5:F24"/>
    </sheetView>
  </sheetViews>
  <sheetFormatPr defaultRowHeight="15" x14ac:dyDescent="0.25"/>
  <cols>
    <col min="2" max="2" width="5" bestFit="1" customWidth="1"/>
    <col min="3" max="3" width="62.5703125" bestFit="1" customWidth="1"/>
    <col min="5" max="5" width="7.42578125" bestFit="1" customWidth="1"/>
    <col min="6" max="6" width="8.42578125" bestFit="1" customWidth="1"/>
  </cols>
  <sheetData>
    <row r="4" spans="2:6" x14ac:dyDescent="0.25">
      <c r="B4" s="12"/>
      <c r="C4" s="12"/>
    </row>
    <row r="5" spans="2:6" x14ac:dyDescent="0.25">
      <c r="B5" s="13" t="s">
        <v>24</v>
      </c>
      <c r="C5" s="13"/>
      <c r="D5" s="14"/>
      <c r="E5" s="14"/>
      <c r="F5" s="14"/>
    </row>
    <row r="6" spans="2:6" x14ac:dyDescent="0.25">
      <c r="B6" s="13" t="s">
        <v>25</v>
      </c>
      <c r="C6" s="13"/>
      <c r="D6" s="14"/>
      <c r="E6" s="14"/>
      <c r="F6" s="14"/>
    </row>
    <row r="7" spans="2:6" x14ac:dyDescent="0.25">
      <c r="B7" s="13" t="s">
        <v>198</v>
      </c>
      <c r="C7" s="13"/>
      <c r="D7" s="14"/>
      <c r="E7" s="14"/>
      <c r="F7" s="14"/>
    </row>
    <row r="8" spans="2:6" x14ac:dyDescent="0.25">
      <c r="B8" s="13" t="s">
        <v>26</v>
      </c>
      <c r="C8" s="13"/>
      <c r="D8" s="14"/>
      <c r="E8" s="14"/>
      <c r="F8" s="14"/>
    </row>
    <row r="9" spans="2:6" x14ac:dyDescent="0.25">
      <c r="B9" s="13" t="s">
        <v>199</v>
      </c>
      <c r="C9" s="13"/>
      <c r="D9" s="14"/>
      <c r="E9" s="14"/>
      <c r="F9" s="14"/>
    </row>
    <row r="10" spans="2:6" x14ac:dyDescent="0.25">
      <c r="B10" s="15" t="s">
        <v>27</v>
      </c>
      <c r="C10" s="15"/>
      <c r="D10" s="15"/>
      <c r="E10" s="15"/>
      <c r="F10" s="15"/>
    </row>
    <row r="11" spans="2:6" x14ac:dyDescent="0.25">
      <c r="B11" s="14"/>
      <c r="C11" s="14"/>
      <c r="D11" s="14"/>
      <c r="E11" s="14"/>
      <c r="F11" s="14"/>
    </row>
    <row r="12" spans="2:6" x14ac:dyDescent="0.25">
      <c r="B12" s="14"/>
      <c r="C12" s="14"/>
      <c r="D12" s="14"/>
      <c r="E12" s="14"/>
      <c r="F12" s="12"/>
    </row>
    <row r="13" spans="2:6" x14ac:dyDescent="0.25">
      <c r="B13" s="16" t="s">
        <v>28</v>
      </c>
      <c r="C13" s="16"/>
      <c r="D13" s="16"/>
      <c r="E13" s="12"/>
      <c r="F13" s="12"/>
    </row>
    <row r="14" spans="2:6" x14ac:dyDescent="0.25">
      <c r="B14" s="17" t="s">
        <v>29</v>
      </c>
      <c r="C14" s="17" t="s">
        <v>30</v>
      </c>
      <c r="D14" s="17"/>
      <c r="E14" s="18"/>
      <c r="F14" s="18"/>
    </row>
    <row r="15" spans="2:6" x14ac:dyDescent="0.25">
      <c r="B15" s="12"/>
      <c r="C15" s="12"/>
      <c r="D15" s="12"/>
      <c r="E15" s="12"/>
      <c r="F15" s="12"/>
    </row>
    <row r="16" spans="2:6" x14ac:dyDescent="0.25">
      <c r="B16" s="19">
        <f>ROW()</f>
        <v>16</v>
      </c>
      <c r="C16" s="20" t="s">
        <v>31</v>
      </c>
      <c r="D16" s="21"/>
      <c r="E16" s="21"/>
      <c r="F16" s="22">
        <v>4.1980000000000003E-3</v>
      </c>
    </row>
    <row r="17" spans="2:6" x14ac:dyDescent="0.25">
      <c r="B17" s="19">
        <f>ROW()</f>
        <v>17</v>
      </c>
      <c r="C17" s="246" t="s">
        <v>32</v>
      </c>
      <c r="D17" s="21"/>
      <c r="E17" s="21"/>
      <c r="F17" s="247">
        <v>5.0000000000000001E-3</v>
      </c>
    </row>
    <row r="18" spans="2:6" x14ac:dyDescent="0.25">
      <c r="B18" s="19">
        <f>ROW()</f>
        <v>18</v>
      </c>
      <c r="C18" s="20" t="s">
        <v>33</v>
      </c>
      <c r="D18" s="12"/>
      <c r="E18" s="22">
        <v>3.8519999999999999E-2</v>
      </c>
      <c r="F18" s="23">
        <f>ROUND(E18-(E18*F16),6)</f>
        <v>3.8358000000000003E-2</v>
      </c>
    </row>
    <row r="19" spans="2:6" x14ac:dyDescent="0.25">
      <c r="B19" s="19">
        <f>ROW()</f>
        <v>19</v>
      </c>
      <c r="C19" s="20"/>
      <c r="D19" s="21"/>
      <c r="E19" s="21"/>
      <c r="F19" s="24"/>
    </row>
    <row r="20" spans="2:6" x14ac:dyDescent="0.25">
      <c r="B20" s="19">
        <f>ROW()</f>
        <v>20</v>
      </c>
      <c r="C20" s="20" t="s">
        <v>34</v>
      </c>
      <c r="D20" s="21"/>
      <c r="E20" s="21"/>
      <c r="F20" s="22">
        <f>ROUND(SUM(F16:F18),6)</f>
        <v>4.7556000000000001E-2</v>
      </c>
    </row>
    <row r="21" spans="2:6" x14ac:dyDescent="0.25">
      <c r="B21" s="19">
        <f>ROW()</f>
        <v>21</v>
      </c>
      <c r="C21" s="21"/>
      <c r="D21" s="21"/>
      <c r="E21" s="21"/>
      <c r="F21" s="22"/>
    </row>
    <row r="22" spans="2:6" x14ac:dyDescent="0.25">
      <c r="B22" s="19">
        <f>ROW()</f>
        <v>22</v>
      </c>
      <c r="C22" s="21" t="s">
        <v>35</v>
      </c>
      <c r="D22" s="21"/>
      <c r="E22" s="21"/>
      <c r="F22" s="22">
        <f>ROUND(1-F20,6)</f>
        <v>0.95244399999999996</v>
      </c>
    </row>
    <row r="23" spans="2:6" x14ac:dyDescent="0.25">
      <c r="B23" s="19">
        <f>ROW()</f>
        <v>23</v>
      </c>
      <c r="C23" s="20" t="s">
        <v>36</v>
      </c>
      <c r="D23" s="21"/>
      <c r="E23" s="25">
        <v>0.21</v>
      </c>
      <c r="F23" s="22">
        <f>ROUND((F22)*E23,6)</f>
        <v>0.200013</v>
      </c>
    </row>
    <row r="24" spans="2:6" ht="15.75" thickBot="1" x14ac:dyDescent="0.3">
      <c r="B24" s="19">
        <f>ROW()</f>
        <v>24</v>
      </c>
      <c r="C24" s="20" t="s">
        <v>37</v>
      </c>
      <c r="D24" s="21"/>
      <c r="E24" s="21"/>
      <c r="F24" s="26">
        <f>ROUND(1-F23-F20,6)</f>
        <v>0.75243099999999996</v>
      </c>
    </row>
    <row r="25" spans="2:6" ht="15.75" thickTop="1" x14ac:dyDescent="0.25"/>
  </sheetData>
  <printOptions horizontalCentered="1"/>
  <pageMargins left="0.7" right="0.7" top="0.75" bottom="0.75" header="0.3" footer="0.3"/>
  <pageSetup scale="99" orientation="portrait" horizontalDpi="1200" verticalDpi="1200" r:id="rId1"/>
  <headerFooter>
    <oddFooter>&amp;R&amp;"Times New Roman,Regular"Exh. SEF-3 page 16 of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workbookViewId="0">
      <pane xSplit="2" ySplit="9" topLeftCell="C10" activePane="bottomRight" state="frozen"/>
      <selection activeCell="C35" sqref="C35"/>
      <selection pane="topRight" activeCell="C35" sqref="C35"/>
      <selection pane="bottomLeft" activeCell="C35" sqref="C35"/>
      <selection pane="bottomRight" activeCell="D12" sqref="D12:D22"/>
    </sheetView>
  </sheetViews>
  <sheetFormatPr defaultColWidth="9.140625" defaultRowHeight="15" x14ac:dyDescent="0.25"/>
  <cols>
    <col min="1" max="1" width="3.85546875" style="175" customWidth="1"/>
    <col min="2" max="2" width="20.42578125" style="78" customWidth="1"/>
    <col min="3" max="3" width="14.5703125" style="78" bestFit="1" customWidth="1"/>
    <col min="4" max="6" width="12.7109375" style="78" customWidth="1"/>
    <col min="7" max="7" width="17.28515625" style="78" bestFit="1" customWidth="1"/>
    <col min="8" max="8" width="18" style="78" customWidth="1"/>
    <col min="9" max="15" width="12.7109375" style="78" customWidth="1"/>
    <col min="16" max="16" width="12.28515625" style="78" bestFit="1" customWidth="1"/>
    <col min="17" max="17" width="14.28515625" style="78" bestFit="1" customWidth="1"/>
    <col min="18" max="18" width="20.7109375" style="78" bestFit="1" customWidth="1"/>
    <col min="19" max="16384" width="9.140625" style="78"/>
  </cols>
  <sheetData>
    <row r="1" spans="2:15" x14ac:dyDescent="0.25">
      <c r="B1" s="84" t="s">
        <v>181</v>
      </c>
      <c r="C1" s="85"/>
      <c r="D1" s="85"/>
      <c r="E1" s="85"/>
      <c r="F1" s="85"/>
      <c r="G1" s="85"/>
      <c r="H1" s="86"/>
      <c r="I1" s="230">
        <f>C12-D12</f>
        <v>543228</v>
      </c>
      <c r="J1" s="86"/>
      <c r="K1" s="86"/>
      <c r="L1" s="86"/>
      <c r="M1" s="86"/>
      <c r="N1" s="87"/>
      <c r="O1" s="86"/>
    </row>
    <row r="2" spans="2:15" ht="15.75" thickBot="1" x14ac:dyDescent="0.3">
      <c r="B2" s="5" t="s">
        <v>128</v>
      </c>
      <c r="C2" s="28"/>
      <c r="D2" s="34"/>
      <c r="E2" s="88"/>
      <c r="F2" s="28"/>
      <c r="G2" s="28"/>
      <c r="H2" s="89"/>
      <c r="I2" s="90"/>
      <c r="J2" s="90"/>
      <c r="K2" s="91"/>
      <c r="L2" s="85"/>
      <c r="M2" s="85"/>
      <c r="N2" s="87"/>
      <c r="O2" s="85"/>
    </row>
    <row r="3" spans="2:15" ht="15.75" thickBot="1" x14ac:dyDescent="0.3">
      <c r="B3" s="220" t="s">
        <v>191</v>
      </c>
      <c r="C3" s="221">
        <v>1</v>
      </c>
      <c r="D3" s="86"/>
      <c r="E3" s="86" t="s">
        <v>192</v>
      </c>
      <c r="F3" s="222">
        <f>-Q37</f>
        <v>-543228</v>
      </c>
      <c r="G3" s="222">
        <f>F3</f>
        <v>-543228</v>
      </c>
      <c r="H3" s="28" t="s">
        <v>193</v>
      </c>
      <c r="I3" s="222">
        <v>-1173.6873797498333</v>
      </c>
      <c r="J3" s="245">
        <f>I3*12</f>
        <v>-14084.248556998</v>
      </c>
      <c r="K3" s="197">
        <f>J3/F3</f>
        <v>2.5926956189662537E-2</v>
      </c>
      <c r="L3" s="197"/>
      <c r="M3" s="86"/>
      <c r="N3" s="86"/>
      <c r="O3" s="86"/>
    </row>
    <row r="4" spans="2:15" ht="15.75" thickBot="1" x14ac:dyDescent="0.3">
      <c r="B4" s="30"/>
      <c r="C4" s="163" t="s">
        <v>159</v>
      </c>
      <c r="D4" s="161"/>
      <c r="E4" s="161"/>
      <c r="F4" s="161"/>
      <c r="G4" s="161"/>
      <c r="H4" s="161"/>
      <c r="I4" s="162"/>
      <c r="J4" s="30"/>
      <c r="K4" s="30"/>
      <c r="L4" s="30"/>
      <c r="M4" s="30"/>
      <c r="N4" s="30"/>
      <c r="O4" s="30"/>
    </row>
    <row r="5" spans="2:15" x14ac:dyDescent="0.25">
      <c r="B5" s="92" t="s">
        <v>82</v>
      </c>
      <c r="C5" s="159" t="s">
        <v>83</v>
      </c>
      <c r="D5" s="160"/>
      <c r="E5" s="159" t="s">
        <v>84</v>
      </c>
      <c r="F5" s="160"/>
      <c r="G5" s="160"/>
      <c r="H5" s="159" t="s">
        <v>81</v>
      </c>
      <c r="I5" s="160"/>
      <c r="J5" s="93" t="s">
        <v>85</v>
      </c>
      <c r="K5" s="94"/>
      <c r="L5" s="95" t="s">
        <v>86</v>
      </c>
      <c r="M5" s="96" t="s">
        <v>87</v>
      </c>
      <c r="N5" s="96" t="s">
        <v>59</v>
      </c>
      <c r="O5" s="95" t="s">
        <v>163</v>
      </c>
    </row>
    <row r="6" spans="2:15" x14ac:dyDescent="0.25">
      <c r="B6" s="97"/>
      <c r="C6" s="98"/>
      <c r="D6" s="99"/>
      <c r="E6" s="100"/>
      <c r="F6" s="236"/>
      <c r="G6" s="241"/>
      <c r="H6" s="100"/>
      <c r="I6" s="99"/>
      <c r="J6" s="98"/>
      <c r="K6" s="101"/>
      <c r="L6" s="102"/>
      <c r="M6" s="103"/>
      <c r="N6" s="103" t="s">
        <v>162</v>
      </c>
      <c r="O6" s="102" t="s">
        <v>164</v>
      </c>
    </row>
    <row r="7" spans="2:15" x14ac:dyDescent="0.25">
      <c r="B7" s="104"/>
      <c r="C7" s="105" t="s">
        <v>88</v>
      </c>
      <c r="D7" s="101" t="s">
        <v>89</v>
      </c>
      <c r="E7" s="105" t="s">
        <v>90</v>
      </c>
      <c r="F7" s="237" t="s">
        <v>129</v>
      </c>
      <c r="G7" s="101" t="s">
        <v>194</v>
      </c>
      <c r="H7" s="105" t="s">
        <v>88</v>
      </c>
      <c r="I7" s="101" t="s">
        <v>89</v>
      </c>
      <c r="J7" s="105" t="s">
        <v>88</v>
      </c>
      <c r="K7" s="101" t="s">
        <v>91</v>
      </c>
      <c r="L7" s="102" t="s">
        <v>92</v>
      </c>
      <c r="M7" s="106"/>
      <c r="N7" s="103" t="s">
        <v>93</v>
      </c>
      <c r="O7" s="165"/>
    </row>
    <row r="8" spans="2:15" x14ac:dyDescent="0.25">
      <c r="B8" s="104"/>
      <c r="C8" s="105"/>
      <c r="D8" s="101"/>
      <c r="E8" s="105" t="s">
        <v>94</v>
      </c>
      <c r="F8" s="237" t="s">
        <v>130</v>
      </c>
      <c r="G8" s="101" t="s">
        <v>130</v>
      </c>
      <c r="H8" s="105" t="s">
        <v>95</v>
      </c>
      <c r="I8" s="101" t="s">
        <v>96</v>
      </c>
      <c r="J8" s="105"/>
      <c r="K8" s="101"/>
      <c r="L8" s="102" t="s">
        <v>182</v>
      </c>
      <c r="M8" s="106">
        <v>0.21</v>
      </c>
      <c r="N8" s="103" t="s">
        <v>97</v>
      </c>
      <c r="O8" s="165"/>
    </row>
    <row r="9" spans="2:15" x14ac:dyDescent="0.25">
      <c r="B9" s="107"/>
      <c r="C9" s="108" t="s">
        <v>98</v>
      </c>
      <c r="D9" s="109" t="s">
        <v>63</v>
      </c>
      <c r="E9" s="108"/>
      <c r="F9" s="238" t="s">
        <v>161</v>
      </c>
      <c r="G9" s="109" t="s">
        <v>161</v>
      </c>
      <c r="H9" s="108" t="s">
        <v>99</v>
      </c>
      <c r="I9" s="109" t="s">
        <v>100</v>
      </c>
      <c r="J9" s="108" t="s">
        <v>101</v>
      </c>
      <c r="K9" s="109" t="s">
        <v>102</v>
      </c>
      <c r="L9" s="110" t="s">
        <v>103</v>
      </c>
      <c r="M9" s="111" t="s">
        <v>71</v>
      </c>
      <c r="N9" s="112" t="s">
        <v>104</v>
      </c>
      <c r="O9" s="166" t="s">
        <v>165</v>
      </c>
    </row>
    <row r="10" spans="2:15" x14ac:dyDescent="0.25">
      <c r="B10" s="113"/>
      <c r="C10" s="114"/>
      <c r="D10" s="115"/>
      <c r="E10" s="114"/>
      <c r="F10" s="120" t="s">
        <v>195</v>
      </c>
      <c r="G10" s="115"/>
      <c r="H10" s="116"/>
      <c r="I10" s="117"/>
      <c r="J10" s="114"/>
      <c r="K10" s="115"/>
      <c r="L10" s="118"/>
      <c r="M10" s="119"/>
      <c r="N10" s="115"/>
      <c r="O10" s="167"/>
    </row>
    <row r="11" spans="2:15" x14ac:dyDescent="0.25">
      <c r="B11" s="223">
        <v>44592</v>
      </c>
      <c r="C11" s="114">
        <v>0</v>
      </c>
      <c r="D11" s="224">
        <v>0</v>
      </c>
      <c r="E11" s="114">
        <v>770282.29714848334</v>
      </c>
      <c r="F11" s="226">
        <v>0</v>
      </c>
      <c r="G11" s="115">
        <v>0</v>
      </c>
      <c r="H11" s="114">
        <f>H10-E11</f>
        <v>-770282.29714848334</v>
      </c>
      <c r="I11" s="120">
        <f>I10-F11</f>
        <v>0</v>
      </c>
      <c r="J11" s="114">
        <f t="shared" ref="J11:J45" si="0">C11+H11</f>
        <v>-770282.29714848334</v>
      </c>
      <c r="K11" s="120">
        <f t="shared" ref="K11:K45" si="1">D11+I11</f>
        <v>0</v>
      </c>
      <c r="L11" s="114">
        <f>K11-J11</f>
        <v>770282.29714848334</v>
      </c>
      <c r="M11" s="114">
        <f>-L11*0.21</f>
        <v>-161759.2824011815</v>
      </c>
      <c r="N11" s="118">
        <f>N10-M11</f>
        <v>161759.2824011815</v>
      </c>
      <c r="O11" s="118">
        <f t="shared" ref="O11:O24" si="2">K11+M11</f>
        <v>-161759.2824011815</v>
      </c>
    </row>
    <row r="12" spans="2:15" x14ac:dyDescent="0.25">
      <c r="B12" s="223">
        <v>44620</v>
      </c>
      <c r="C12" s="114">
        <v>242210482.39999998</v>
      </c>
      <c r="D12" s="224">
        <f>(C12+F3)*C3</f>
        <v>241667254.39999998</v>
      </c>
      <c r="E12" s="114">
        <v>771840.64653689996</v>
      </c>
      <c r="F12" s="226">
        <f>((G12+$I$3/2))*$C$3</f>
        <v>270345.88582345843</v>
      </c>
      <c r="G12" s="115">
        <v>270932.72951333335</v>
      </c>
      <c r="H12" s="114">
        <f t="shared" ref="H12:H45" si="3">H11-E12</f>
        <v>-1542122.9436853833</v>
      </c>
      <c r="I12" s="120">
        <f t="shared" ref="I12:I45" si="4">I11-F12</f>
        <v>-270345.88582345843</v>
      </c>
      <c r="J12" s="114">
        <f t="shared" si="0"/>
        <v>240668359.45631459</v>
      </c>
      <c r="K12" s="120">
        <f t="shared" si="1"/>
        <v>241396908.51417652</v>
      </c>
      <c r="L12" s="114">
        <f t="shared" ref="L12:L45" si="5">K12-J12</f>
        <v>728549.05786192417</v>
      </c>
      <c r="M12" s="114">
        <f t="shared" ref="M12:M45" si="6">-L12*0.21</f>
        <v>-152995.30215100406</v>
      </c>
      <c r="N12" s="118">
        <f>-(M12-M11)</f>
        <v>-8763.9802501774393</v>
      </c>
      <c r="O12" s="118">
        <f t="shared" si="2"/>
        <v>241243913.21202552</v>
      </c>
    </row>
    <row r="13" spans="2:15" x14ac:dyDescent="0.25">
      <c r="B13" s="223">
        <v>44651</v>
      </c>
      <c r="C13" s="114">
        <v>242400844.05000004</v>
      </c>
      <c r="D13" s="224">
        <f>(C13+F3)*C3</f>
        <v>241857616.05000004</v>
      </c>
      <c r="E13" s="114">
        <v>772222.23552633915</v>
      </c>
      <c r="F13" s="226">
        <f>(G13+I3)*$C$3</f>
        <v>522406.7159037501</v>
      </c>
      <c r="G13" s="115">
        <v>523580.40328349994</v>
      </c>
      <c r="H13" s="114">
        <f t="shared" si="3"/>
        <v>-2314345.1792117227</v>
      </c>
      <c r="I13" s="120">
        <f t="shared" si="4"/>
        <v>-792752.60172720859</v>
      </c>
      <c r="J13" s="114">
        <f t="shared" si="0"/>
        <v>240086498.87078831</v>
      </c>
      <c r="K13" s="120">
        <f t="shared" si="1"/>
        <v>241064863.44827282</v>
      </c>
      <c r="L13" s="114">
        <f t="shared" si="5"/>
        <v>978364.57748451829</v>
      </c>
      <c r="M13" s="114">
        <f t="shared" si="6"/>
        <v>-205456.56127174883</v>
      </c>
      <c r="N13" s="118">
        <f t="shared" ref="N13:N45" si="7">-(M13-M12)</f>
        <v>52461.259120744769</v>
      </c>
      <c r="O13" s="118">
        <f t="shared" si="2"/>
        <v>240859406.88700107</v>
      </c>
    </row>
    <row r="14" spans="2:15" x14ac:dyDescent="0.25">
      <c r="B14" s="223">
        <v>44681</v>
      </c>
      <c r="C14" s="114">
        <v>242473352.72000003</v>
      </c>
      <c r="D14" s="224">
        <f>(C14+F3)*C3</f>
        <v>241930124.72000003</v>
      </c>
      <c r="E14" s="114">
        <v>772346.7097157056</v>
      </c>
      <c r="F14" s="226">
        <f>(G14+I3)*$C$3</f>
        <v>522679.15143962507</v>
      </c>
      <c r="G14" s="115">
        <v>523852.83881937491</v>
      </c>
      <c r="H14" s="114">
        <f t="shared" si="3"/>
        <v>-3086691.8889274281</v>
      </c>
      <c r="I14" s="120">
        <f t="shared" si="4"/>
        <v>-1315431.7531668337</v>
      </c>
      <c r="J14" s="114">
        <f t="shared" si="0"/>
        <v>239386660.8310726</v>
      </c>
      <c r="K14" s="120">
        <f t="shared" si="1"/>
        <v>240614692.9668332</v>
      </c>
      <c r="L14" s="114">
        <f t="shared" si="5"/>
        <v>1228032.1357606053</v>
      </c>
      <c r="M14" s="114">
        <f t="shared" si="6"/>
        <v>-257886.7485097271</v>
      </c>
      <c r="N14" s="118">
        <f t="shared" si="7"/>
        <v>52430.187237978273</v>
      </c>
      <c r="O14" s="118">
        <f t="shared" si="2"/>
        <v>240356806.21832347</v>
      </c>
    </row>
    <row r="15" spans="2:15" x14ac:dyDescent="0.25">
      <c r="B15" s="223">
        <v>44712</v>
      </c>
      <c r="C15" s="114">
        <v>242597388.97000003</v>
      </c>
      <c r="D15" s="224">
        <f>(C15+F3)*C3</f>
        <v>242054160.97000003</v>
      </c>
      <c r="E15" s="114">
        <v>772683.33304100577</v>
      </c>
      <c r="F15" s="226">
        <f>(G15+$I$3)*$C$3</f>
        <v>522883.76147820853</v>
      </c>
      <c r="G15" s="115">
        <v>524057.44885795837</v>
      </c>
      <c r="H15" s="114">
        <f t="shared" si="3"/>
        <v>-3859375.2219684338</v>
      </c>
      <c r="I15" s="120">
        <f t="shared" si="4"/>
        <v>-1838315.5146450421</v>
      </c>
      <c r="J15" s="114">
        <f t="shared" si="0"/>
        <v>238738013.74803159</v>
      </c>
      <c r="K15" s="120">
        <f t="shared" si="1"/>
        <v>240215845.45535499</v>
      </c>
      <c r="L15" s="114">
        <f t="shared" si="5"/>
        <v>1477831.7073234022</v>
      </c>
      <c r="M15" s="114">
        <f t="shared" si="6"/>
        <v>-310344.65853791445</v>
      </c>
      <c r="N15" s="118">
        <f t="shared" si="7"/>
        <v>52457.910028187354</v>
      </c>
      <c r="O15" s="118">
        <f t="shared" si="2"/>
        <v>239905500.79681706</v>
      </c>
    </row>
    <row r="16" spans="2:15" x14ac:dyDescent="0.25">
      <c r="B16" s="223">
        <v>44742</v>
      </c>
      <c r="C16" s="114">
        <v>242654035.06999996</v>
      </c>
      <c r="D16" s="224">
        <f>(C16+F3)*C3</f>
        <v>242110807.06999996</v>
      </c>
      <c r="E16" s="114">
        <v>772811.68793569983</v>
      </c>
      <c r="F16" s="226">
        <f>(G16+$I$3)*$C$3</f>
        <v>523072.99290333351</v>
      </c>
      <c r="G16" s="115">
        <v>524246.68028308335</v>
      </c>
      <c r="H16" s="114">
        <f t="shared" si="3"/>
        <v>-4632186.9099041335</v>
      </c>
      <c r="I16" s="120">
        <f t="shared" si="4"/>
        <v>-2361388.5075483755</v>
      </c>
      <c r="J16" s="114">
        <f t="shared" si="0"/>
        <v>238021848.16009584</v>
      </c>
      <c r="K16" s="120">
        <f t="shared" si="1"/>
        <v>239749418.5624516</v>
      </c>
      <c r="L16" s="114">
        <f t="shared" si="5"/>
        <v>1727570.4023557603</v>
      </c>
      <c r="M16" s="114">
        <f t="shared" si="6"/>
        <v>-362789.78449470963</v>
      </c>
      <c r="N16" s="118">
        <f t="shared" si="7"/>
        <v>52445.125956795178</v>
      </c>
      <c r="O16" s="118">
        <f t="shared" si="2"/>
        <v>239386628.7779569</v>
      </c>
    </row>
    <row r="17" spans="2:15" x14ac:dyDescent="0.25">
      <c r="B17" s="223">
        <v>44773</v>
      </c>
      <c r="C17" s="114">
        <v>242711756.40999997</v>
      </c>
      <c r="D17" s="224">
        <f>(C17+F3)*C3</f>
        <v>242168528.40999997</v>
      </c>
      <c r="E17" s="114">
        <v>772910.87736794993</v>
      </c>
      <c r="F17" s="226">
        <f t="shared" ref="F17:F22" si="8">(G17+$I$3)*$C$3</f>
        <v>523191.38679333357</v>
      </c>
      <c r="G17" s="115">
        <v>524365.07417308341</v>
      </c>
      <c r="H17" s="114">
        <f t="shared" si="3"/>
        <v>-5405097.7872720836</v>
      </c>
      <c r="I17" s="120">
        <f t="shared" si="4"/>
        <v>-2884579.8943417091</v>
      </c>
      <c r="J17" s="114">
        <f t="shared" si="0"/>
        <v>237306658.62272787</v>
      </c>
      <c r="K17" s="120">
        <f t="shared" si="1"/>
        <v>239283948.51565826</v>
      </c>
      <c r="L17" s="114">
        <f t="shared" si="5"/>
        <v>1977289.8929303885</v>
      </c>
      <c r="M17" s="114">
        <f t="shared" si="6"/>
        <v>-415230.87751538155</v>
      </c>
      <c r="N17" s="118">
        <f t="shared" si="7"/>
        <v>52441.09302067192</v>
      </c>
      <c r="O17" s="118">
        <f t="shared" si="2"/>
        <v>238868717.63814288</v>
      </c>
    </row>
    <row r="18" spans="2:15" x14ac:dyDescent="0.25">
      <c r="B18" s="223">
        <v>44804</v>
      </c>
      <c r="C18" s="114">
        <v>242786181.20999995</v>
      </c>
      <c r="D18" s="224">
        <f>(C18+F3)*C3</f>
        <v>242242953.20999995</v>
      </c>
      <c r="E18" s="114">
        <v>773023.4997649499</v>
      </c>
      <c r="F18" s="226">
        <f t="shared" si="8"/>
        <v>523328.00430545851</v>
      </c>
      <c r="G18" s="115">
        <v>524501.69168520835</v>
      </c>
      <c r="H18" s="114">
        <f t="shared" si="3"/>
        <v>-6178121.2870370336</v>
      </c>
      <c r="I18" s="120">
        <f t="shared" si="4"/>
        <v>-3407907.8986471677</v>
      </c>
      <c r="J18" s="114">
        <f t="shared" si="0"/>
        <v>236608059.9229629</v>
      </c>
      <c r="K18" s="120">
        <f t="shared" si="1"/>
        <v>238835045.31135279</v>
      </c>
      <c r="L18" s="114">
        <f t="shared" si="5"/>
        <v>2226985.3883898854</v>
      </c>
      <c r="M18" s="114">
        <f t="shared" si="6"/>
        <v>-467666.93156187591</v>
      </c>
      <c r="N18" s="118">
        <f t="shared" si="7"/>
        <v>52436.054046494362</v>
      </c>
      <c r="O18" s="118">
        <f t="shared" si="2"/>
        <v>238367378.3797909</v>
      </c>
    </row>
    <row r="19" spans="2:15" x14ac:dyDescent="0.25">
      <c r="B19" s="223">
        <v>44834</v>
      </c>
      <c r="C19" s="114">
        <v>242951019.96999997</v>
      </c>
      <c r="D19" s="224">
        <f>(C19+F3)*C3</f>
        <v>242407791.96999997</v>
      </c>
      <c r="E19" s="114">
        <v>773269.34723881667</v>
      </c>
      <c r="F19" s="226">
        <f t="shared" si="8"/>
        <v>523575.05969275022</v>
      </c>
      <c r="G19" s="115">
        <v>524748.74707250006</v>
      </c>
      <c r="H19" s="114">
        <f t="shared" si="3"/>
        <v>-6951390.6342758499</v>
      </c>
      <c r="I19" s="120">
        <f t="shared" si="4"/>
        <v>-3931482.9583399179</v>
      </c>
      <c r="J19" s="114">
        <f t="shared" si="0"/>
        <v>235999629.33572412</v>
      </c>
      <c r="K19" s="120">
        <f t="shared" si="1"/>
        <v>238476309.01166004</v>
      </c>
      <c r="L19" s="114">
        <f t="shared" si="5"/>
        <v>2476679.6759359241</v>
      </c>
      <c r="M19" s="114">
        <f t="shared" si="6"/>
        <v>-520102.73194654402</v>
      </c>
      <c r="N19" s="118">
        <f t="shared" si="7"/>
        <v>52435.800384668109</v>
      </c>
      <c r="O19" s="118">
        <f t="shared" si="2"/>
        <v>237956206.27971348</v>
      </c>
    </row>
    <row r="20" spans="2:15" x14ac:dyDescent="0.25">
      <c r="B20" s="223">
        <v>44865</v>
      </c>
      <c r="C20" s="114">
        <v>243004226.10999998</v>
      </c>
      <c r="D20" s="224">
        <f>(C20+F3)*C3</f>
        <v>242460998.10999998</v>
      </c>
      <c r="E20" s="114">
        <v>773394.37288928335</v>
      </c>
      <c r="F20" s="226">
        <f t="shared" si="8"/>
        <v>523800.61537508352</v>
      </c>
      <c r="G20" s="115">
        <v>524974.30275483336</v>
      </c>
      <c r="H20" s="114">
        <f t="shared" si="3"/>
        <v>-7724785.007165133</v>
      </c>
      <c r="I20" s="120">
        <f t="shared" si="4"/>
        <v>-4455283.5737150013</v>
      </c>
      <c r="J20" s="114">
        <f t="shared" si="0"/>
        <v>235279441.10283485</v>
      </c>
      <c r="K20" s="120">
        <f t="shared" si="1"/>
        <v>238005714.53628498</v>
      </c>
      <c r="L20" s="114">
        <f t="shared" si="5"/>
        <v>2726273.4334501326</v>
      </c>
      <c r="M20" s="114">
        <f t="shared" si="6"/>
        <v>-572517.42102452787</v>
      </c>
      <c r="N20" s="118">
        <f t="shared" si="7"/>
        <v>52414.689077983843</v>
      </c>
      <c r="O20" s="118">
        <f t="shared" si="2"/>
        <v>237433197.11526045</v>
      </c>
    </row>
    <row r="21" spans="2:15" x14ac:dyDescent="0.25">
      <c r="B21" s="223">
        <v>44895</v>
      </c>
      <c r="C21" s="114">
        <v>243073721.75999996</v>
      </c>
      <c r="D21" s="224">
        <f>(C21+F3)*C3</f>
        <v>242530493.75999996</v>
      </c>
      <c r="E21" s="114">
        <v>773586.55926474987</v>
      </c>
      <c r="F21" s="226">
        <f t="shared" si="8"/>
        <v>523928.52790887526</v>
      </c>
      <c r="G21" s="115">
        <v>525102.2152886251</v>
      </c>
      <c r="H21" s="114">
        <f t="shared" si="3"/>
        <v>-8498371.5664298832</v>
      </c>
      <c r="I21" s="120">
        <f t="shared" si="4"/>
        <v>-4979212.101623877</v>
      </c>
      <c r="J21" s="114">
        <f t="shared" si="0"/>
        <v>234575350.19357008</v>
      </c>
      <c r="K21" s="120">
        <f t="shared" si="1"/>
        <v>237551281.6583761</v>
      </c>
      <c r="L21" s="114">
        <f t="shared" si="5"/>
        <v>2975931.4648060203</v>
      </c>
      <c r="M21" s="114">
        <f t="shared" si="6"/>
        <v>-624945.6076092642</v>
      </c>
      <c r="N21" s="118">
        <f t="shared" si="7"/>
        <v>52428.186584736337</v>
      </c>
      <c r="O21" s="118">
        <f t="shared" si="2"/>
        <v>236926336.05076683</v>
      </c>
    </row>
    <row r="22" spans="2:15" x14ac:dyDescent="0.25">
      <c r="B22" s="223">
        <v>44926</v>
      </c>
      <c r="C22" s="114">
        <v>243176936.39999998</v>
      </c>
      <c r="D22" s="224">
        <f>(C22+F3)*C3</f>
        <v>242633708.39999998</v>
      </c>
      <c r="E22" s="114">
        <v>773813.37816588336</v>
      </c>
      <c r="F22" s="226">
        <f t="shared" si="8"/>
        <v>524108.3233011252</v>
      </c>
      <c r="G22" s="115">
        <v>525282.01068087504</v>
      </c>
      <c r="H22" s="114">
        <f t="shared" si="3"/>
        <v>-9272184.9445957672</v>
      </c>
      <c r="I22" s="120">
        <f t="shared" si="4"/>
        <v>-5503320.4249250023</v>
      </c>
      <c r="J22" s="114">
        <f t="shared" si="0"/>
        <v>233904751.45540422</v>
      </c>
      <c r="K22" s="120">
        <f t="shared" si="1"/>
        <v>237130387.97507498</v>
      </c>
      <c r="L22" s="114">
        <f t="shared" si="5"/>
        <v>3225636.5196707547</v>
      </c>
      <c r="M22" s="114">
        <f t="shared" si="6"/>
        <v>-677383.6691308585</v>
      </c>
      <c r="N22" s="118">
        <f t="shared" si="7"/>
        <v>52438.061521594296</v>
      </c>
      <c r="O22" s="118">
        <f t="shared" si="2"/>
        <v>236453004.30594411</v>
      </c>
    </row>
    <row r="23" spans="2:15" x14ac:dyDescent="0.25">
      <c r="B23" s="205">
        <v>44957</v>
      </c>
      <c r="C23" s="114">
        <v>243164613.76999995</v>
      </c>
      <c r="D23" s="225">
        <f>(C23+$F$3)</f>
        <v>242621385.76999995</v>
      </c>
      <c r="E23" s="114">
        <v>1478521.4387653836</v>
      </c>
      <c r="F23" s="227">
        <f>G23+$I$3</f>
        <v>524202.83662783355</v>
      </c>
      <c r="G23" s="115">
        <v>525376.52400758339</v>
      </c>
      <c r="H23" s="114">
        <f t="shared" si="3"/>
        <v>-10750706.383361151</v>
      </c>
      <c r="I23" s="120">
        <f t="shared" si="4"/>
        <v>-6027523.2615528358</v>
      </c>
      <c r="J23" s="114">
        <f t="shared" si="0"/>
        <v>232413907.38663879</v>
      </c>
      <c r="K23" s="120">
        <f t="shared" si="1"/>
        <v>236593862.50844711</v>
      </c>
      <c r="L23" s="114">
        <f t="shared" si="5"/>
        <v>4179955.1218083203</v>
      </c>
      <c r="M23" s="114">
        <f t="shared" si="6"/>
        <v>-877790.57557974721</v>
      </c>
      <c r="N23" s="118">
        <f t="shared" si="7"/>
        <v>200406.90644888871</v>
      </c>
      <c r="O23" s="118">
        <f t="shared" si="2"/>
        <v>235716071.93286738</v>
      </c>
    </row>
    <row r="24" spans="2:15" x14ac:dyDescent="0.25">
      <c r="B24" s="205">
        <v>44985</v>
      </c>
      <c r="C24" s="114">
        <v>243189559.47999993</v>
      </c>
      <c r="D24" s="225">
        <f t="shared" ref="D24:D45" si="9">(C24+$F$3)</f>
        <v>242646331.47999993</v>
      </c>
      <c r="E24" s="114">
        <v>1478558.2700288168</v>
      </c>
      <c r="F24" s="227">
        <f t="shared" ref="F24:F45" si="10">G24+$I$3</f>
        <v>524215.85926104197</v>
      </c>
      <c r="G24" s="115">
        <v>525389.54664079181</v>
      </c>
      <c r="H24" s="114">
        <f t="shared" si="3"/>
        <v>-12229264.653389968</v>
      </c>
      <c r="I24" s="120">
        <f t="shared" si="4"/>
        <v>-6551739.1208138783</v>
      </c>
      <c r="J24" s="114">
        <f t="shared" si="0"/>
        <v>230960294.82660997</v>
      </c>
      <c r="K24" s="120">
        <f t="shared" si="1"/>
        <v>236094592.35918605</v>
      </c>
      <c r="L24" s="114">
        <f t="shared" si="5"/>
        <v>5134297.5325760841</v>
      </c>
      <c r="M24" s="114">
        <f t="shared" si="6"/>
        <v>-1078202.4818409777</v>
      </c>
      <c r="N24" s="118">
        <f t="shared" si="7"/>
        <v>200411.90626123047</v>
      </c>
      <c r="O24" s="118">
        <f t="shared" si="2"/>
        <v>235016389.87734509</v>
      </c>
    </row>
    <row r="25" spans="2:15" x14ac:dyDescent="0.25">
      <c r="B25" s="205">
        <v>45016</v>
      </c>
      <c r="C25" s="114">
        <v>243198713.56999996</v>
      </c>
      <c r="D25" s="225">
        <f t="shared" si="9"/>
        <v>242655485.56999996</v>
      </c>
      <c r="E25" s="114">
        <v>1478571.7500003839</v>
      </c>
      <c r="F25" s="227">
        <f t="shared" si="10"/>
        <v>524251.06391937518</v>
      </c>
      <c r="G25" s="115">
        <v>525424.75129912503</v>
      </c>
      <c r="H25" s="114">
        <f t="shared" si="3"/>
        <v>-13707836.403390352</v>
      </c>
      <c r="I25" s="120">
        <f t="shared" si="4"/>
        <v>-7075990.184733253</v>
      </c>
      <c r="J25" s="114">
        <f t="shared" si="0"/>
        <v>229490877.16660962</v>
      </c>
      <c r="K25" s="120">
        <f t="shared" si="1"/>
        <v>235579495.38526672</v>
      </c>
      <c r="L25" s="114">
        <f t="shared" si="5"/>
        <v>6088618.2186571062</v>
      </c>
      <c r="M25" s="114">
        <f t="shared" si="6"/>
        <v>-1278609.8259179923</v>
      </c>
      <c r="N25" s="118">
        <f t="shared" si="7"/>
        <v>200407.3440770146</v>
      </c>
      <c r="O25" s="118">
        <f>K25+M25</f>
        <v>234300885.55934873</v>
      </c>
    </row>
    <row r="26" spans="2:15" x14ac:dyDescent="0.25">
      <c r="B26" s="205">
        <v>45046</v>
      </c>
      <c r="C26" s="114">
        <v>243198713.56999996</v>
      </c>
      <c r="D26" s="225">
        <f t="shared" si="9"/>
        <v>242655485.56999996</v>
      </c>
      <c r="E26" s="114">
        <v>1478571.7500003839</v>
      </c>
      <c r="F26" s="227">
        <f t="shared" si="10"/>
        <v>524291.50587108359</v>
      </c>
      <c r="G26" s="115">
        <v>525465.19325083343</v>
      </c>
      <c r="H26" s="114">
        <f t="shared" si="3"/>
        <v>-15186408.153390735</v>
      </c>
      <c r="I26" s="120">
        <f t="shared" si="4"/>
        <v>-7600281.6906043366</v>
      </c>
      <c r="J26" s="114">
        <f t="shared" si="0"/>
        <v>228012305.41660923</v>
      </c>
      <c r="K26" s="120">
        <f t="shared" si="1"/>
        <v>235055203.87939563</v>
      </c>
      <c r="L26" s="114">
        <f t="shared" si="5"/>
        <v>7042898.4627864063</v>
      </c>
      <c r="M26" s="114">
        <f t="shared" si="6"/>
        <v>-1479008.6771851452</v>
      </c>
      <c r="N26" s="118">
        <f t="shared" si="7"/>
        <v>200398.85126715293</v>
      </c>
      <c r="O26" s="118">
        <f t="shared" ref="O26:O45" si="11">K26+M26</f>
        <v>233576195.20221049</v>
      </c>
    </row>
    <row r="27" spans="2:15" x14ac:dyDescent="0.25">
      <c r="B27" s="205">
        <v>45077</v>
      </c>
      <c r="C27" s="114">
        <v>243198713.56999996</v>
      </c>
      <c r="D27" s="225">
        <f t="shared" si="9"/>
        <v>242655485.56999996</v>
      </c>
      <c r="E27" s="114">
        <v>1478571.7500003839</v>
      </c>
      <c r="F27" s="227">
        <f t="shared" si="10"/>
        <v>524291.50587108359</v>
      </c>
      <c r="G27" s="115">
        <f>G26</f>
        <v>525465.19325083343</v>
      </c>
      <c r="H27" s="114">
        <f t="shared" si="3"/>
        <v>-16664979.903391119</v>
      </c>
      <c r="I27" s="120">
        <f t="shared" si="4"/>
        <v>-8124573.1964754201</v>
      </c>
      <c r="J27" s="114">
        <f t="shared" si="0"/>
        <v>226533733.66660884</v>
      </c>
      <c r="K27" s="120">
        <f t="shared" si="1"/>
        <v>234530912.37352455</v>
      </c>
      <c r="L27" s="114">
        <f t="shared" si="5"/>
        <v>7997178.7069157064</v>
      </c>
      <c r="M27" s="114">
        <f t="shared" si="6"/>
        <v>-1679407.5284522984</v>
      </c>
      <c r="N27" s="118">
        <f t="shared" si="7"/>
        <v>200398.85126715316</v>
      </c>
      <c r="O27" s="118">
        <f t="shared" si="11"/>
        <v>232851504.84507224</v>
      </c>
    </row>
    <row r="28" spans="2:15" x14ac:dyDescent="0.25">
      <c r="B28" s="205">
        <v>45107</v>
      </c>
      <c r="C28" s="114">
        <v>243198713.56999996</v>
      </c>
      <c r="D28" s="225">
        <f t="shared" si="9"/>
        <v>242655485.56999996</v>
      </c>
      <c r="E28" s="114">
        <v>1478571.7500003839</v>
      </c>
      <c r="F28" s="227">
        <f t="shared" si="10"/>
        <v>524291.50587108359</v>
      </c>
      <c r="G28" s="115">
        <f t="shared" ref="G28:G45" si="12">G27</f>
        <v>525465.19325083343</v>
      </c>
      <c r="H28" s="114">
        <f t="shared" si="3"/>
        <v>-18143551.653391503</v>
      </c>
      <c r="I28" s="120">
        <f t="shared" si="4"/>
        <v>-8648864.7023465037</v>
      </c>
      <c r="J28" s="114">
        <f t="shared" si="0"/>
        <v>225055161.91660845</v>
      </c>
      <c r="K28" s="120">
        <f t="shared" si="1"/>
        <v>234006620.86765346</v>
      </c>
      <c r="L28" s="114">
        <f t="shared" si="5"/>
        <v>8951458.9510450065</v>
      </c>
      <c r="M28" s="114">
        <f t="shared" si="6"/>
        <v>-1879806.3797194513</v>
      </c>
      <c r="N28" s="118">
        <f t="shared" si="7"/>
        <v>200398.85126715293</v>
      </c>
      <c r="O28" s="118">
        <f t="shared" si="11"/>
        <v>232126814.48793399</v>
      </c>
    </row>
    <row r="29" spans="2:15" x14ac:dyDescent="0.25">
      <c r="B29" s="205">
        <v>45138</v>
      </c>
      <c r="C29" s="114">
        <v>243198713.56999996</v>
      </c>
      <c r="D29" s="225">
        <f t="shared" si="9"/>
        <v>242655485.56999996</v>
      </c>
      <c r="E29" s="114">
        <v>1478571.7500003839</v>
      </c>
      <c r="F29" s="227">
        <f t="shared" si="10"/>
        <v>524291.50587108359</v>
      </c>
      <c r="G29" s="115">
        <f t="shared" si="12"/>
        <v>525465.19325083343</v>
      </c>
      <c r="H29" s="114">
        <f t="shared" si="3"/>
        <v>-19622123.403391887</v>
      </c>
      <c r="I29" s="120">
        <f t="shared" si="4"/>
        <v>-9173156.2082175873</v>
      </c>
      <c r="J29" s="114">
        <f t="shared" si="0"/>
        <v>223576590.16660807</v>
      </c>
      <c r="K29" s="120">
        <f t="shared" si="1"/>
        <v>233482329.36178237</v>
      </c>
      <c r="L29" s="114">
        <f t="shared" si="5"/>
        <v>9905739.1951743066</v>
      </c>
      <c r="M29" s="114">
        <f t="shared" si="6"/>
        <v>-2080205.2309866042</v>
      </c>
      <c r="N29" s="118">
        <f t="shared" si="7"/>
        <v>200398.85126715293</v>
      </c>
      <c r="O29" s="118">
        <f t="shared" si="11"/>
        <v>231402124.13079578</v>
      </c>
    </row>
    <row r="30" spans="2:15" x14ac:dyDescent="0.25">
      <c r="B30" s="205">
        <v>45169</v>
      </c>
      <c r="C30" s="114">
        <v>243198713.56999996</v>
      </c>
      <c r="D30" s="225">
        <f t="shared" si="9"/>
        <v>242655485.56999996</v>
      </c>
      <c r="E30" s="114">
        <v>1478571.7500003839</v>
      </c>
      <c r="F30" s="227">
        <f t="shared" si="10"/>
        <v>524291.50587108359</v>
      </c>
      <c r="G30" s="115">
        <f t="shared" si="12"/>
        <v>525465.19325083343</v>
      </c>
      <c r="H30" s="114">
        <f t="shared" si="3"/>
        <v>-21100695.15339227</v>
      </c>
      <c r="I30" s="120">
        <f t="shared" si="4"/>
        <v>-9697447.7140886709</v>
      </c>
      <c r="J30" s="114">
        <f t="shared" si="0"/>
        <v>222098018.41660768</v>
      </c>
      <c r="K30" s="120">
        <f t="shared" si="1"/>
        <v>232958037.85591128</v>
      </c>
      <c r="L30" s="114">
        <f t="shared" si="5"/>
        <v>10860019.439303607</v>
      </c>
      <c r="M30" s="114">
        <f t="shared" si="6"/>
        <v>-2280604.0822537574</v>
      </c>
      <c r="N30" s="118">
        <f t="shared" si="7"/>
        <v>200398.85126715316</v>
      </c>
      <c r="O30" s="118">
        <f t="shared" si="11"/>
        <v>230677433.77365753</v>
      </c>
    </row>
    <row r="31" spans="2:15" x14ac:dyDescent="0.25">
      <c r="B31" s="205">
        <v>45199</v>
      </c>
      <c r="C31" s="114">
        <v>243198713.56999996</v>
      </c>
      <c r="D31" s="225">
        <f t="shared" si="9"/>
        <v>242655485.56999996</v>
      </c>
      <c r="E31" s="114">
        <v>1478571.7500003839</v>
      </c>
      <c r="F31" s="227">
        <f t="shared" si="10"/>
        <v>524291.50587108359</v>
      </c>
      <c r="G31" s="115">
        <f t="shared" si="12"/>
        <v>525465.19325083343</v>
      </c>
      <c r="H31" s="114">
        <f t="shared" si="3"/>
        <v>-22579266.903392654</v>
      </c>
      <c r="I31" s="120">
        <f t="shared" si="4"/>
        <v>-10221739.219959754</v>
      </c>
      <c r="J31" s="114">
        <f t="shared" si="0"/>
        <v>220619446.66660732</v>
      </c>
      <c r="K31" s="120">
        <f t="shared" si="1"/>
        <v>232433746.3500402</v>
      </c>
      <c r="L31" s="114">
        <f t="shared" si="5"/>
        <v>11814299.683432877</v>
      </c>
      <c r="M31" s="114">
        <f t="shared" si="6"/>
        <v>-2481002.9335209043</v>
      </c>
      <c r="N31" s="118">
        <f t="shared" si="7"/>
        <v>200398.85126714688</v>
      </c>
      <c r="O31" s="118">
        <f t="shared" si="11"/>
        <v>229952743.41651928</v>
      </c>
    </row>
    <row r="32" spans="2:15" ht="15.75" thickBot="1" x14ac:dyDescent="0.3">
      <c r="B32" s="205">
        <v>45230</v>
      </c>
      <c r="C32" s="114">
        <v>243198713.56999996</v>
      </c>
      <c r="D32" s="235">
        <f t="shared" si="9"/>
        <v>242655485.56999996</v>
      </c>
      <c r="E32" s="114">
        <v>1478571.7500003839</v>
      </c>
      <c r="F32" s="239">
        <f t="shared" si="10"/>
        <v>524291.50587108359</v>
      </c>
      <c r="G32" s="115">
        <f t="shared" si="12"/>
        <v>525465.19325083343</v>
      </c>
      <c r="H32" s="114">
        <f t="shared" si="3"/>
        <v>-24057838.653393038</v>
      </c>
      <c r="I32" s="120">
        <f t="shared" si="4"/>
        <v>-10746030.725830838</v>
      </c>
      <c r="J32" s="114">
        <f t="shared" si="0"/>
        <v>219140874.91660693</v>
      </c>
      <c r="K32" s="120">
        <f t="shared" si="1"/>
        <v>231909454.84416914</v>
      </c>
      <c r="L32" s="114">
        <f t="shared" si="5"/>
        <v>12768579.927562207</v>
      </c>
      <c r="M32" s="114">
        <f t="shared" si="6"/>
        <v>-2681401.7847880633</v>
      </c>
      <c r="N32" s="118">
        <f t="shared" si="7"/>
        <v>200398.85126715899</v>
      </c>
      <c r="O32" s="118">
        <f t="shared" si="11"/>
        <v>229228053.05938107</v>
      </c>
    </row>
    <row r="33" spans="2:18" x14ac:dyDescent="0.25">
      <c r="B33" s="206">
        <v>45260</v>
      </c>
      <c r="C33" s="156">
        <v>243198713.56999996</v>
      </c>
      <c r="D33" s="225">
        <f t="shared" si="9"/>
        <v>242655485.56999996</v>
      </c>
      <c r="E33" s="156">
        <v>1478571.7500003839</v>
      </c>
      <c r="F33" s="227">
        <f t="shared" si="10"/>
        <v>524291.50587108359</v>
      </c>
      <c r="G33" s="242">
        <f t="shared" si="12"/>
        <v>525465.19325083343</v>
      </c>
      <c r="H33" s="156">
        <f t="shared" si="3"/>
        <v>-25536410.403393421</v>
      </c>
      <c r="I33" s="157">
        <f t="shared" si="4"/>
        <v>-11270322.231701922</v>
      </c>
      <c r="J33" s="156">
        <f t="shared" si="0"/>
        <v>217662303.16660655</v>
      </c>
      <c r="K33" s="157">
        <f t="shared" si="1"/>
        <v>231385163.33829805</v>
      </c>
      <c r="L33" s="156">
        <f t="shared" si="5"/>
        <v>13722860.171691507</v>
      </c>
      <c r="M33" s="156">
        <f t="shared" si="6"/>
        <v>-2881800.6360552162</v>
      </c>
      <c r="N33" s="158">
        <f t="shared" si="7"/>
        <v>200398.85126715293</v>
      </c>
      <c r="O33" s="158">
        <f t="shared" si="11"/>
        <v>228503362.70224285</v>
      </c>
      <c r="P33" s="129"/>
    </row>
    <row r="34" spans="2:18" x14ac:dyDescent="0.25">
      <c r="B34" s="205">
        <v>45291</v>
      </c>
      <c r="C34" s="114">
        <v>243198713.56999996</v>
      </c>
      <c r="D34" s="225">
        <f t="shared" si="9"/>
        <v>242655485.56999996</v>
      </c>
      <c r="E34" s="114">
        <v>1478571.7500003839</v>
      </c>
      <c r="F34" s="227">
        <f t="shared" si="10"/>
        <v>524291.50587108359</v>
      </c>
      <c r="G34" s="115">
        <f t="shared" si="12"/>
        <v>525465.19325083343</v>
      </c>
      <c r="H34" s="114">
        <f t="shared" si="3"/>
        <v>-27014982.153393805</v>
      </c>
      <c r="I34" s="120">
        <f t="shared" si="4"/>
        <v>-11794613.737573005</v>
      </c>
      <c r="J34" s="114">
        <f t="shared" si="0"/>
        <v>216183731.41660616</v>
      </c>
      <c r="K34" s="120">
        <f t="shared" si="1"/>
        <v>230860871.83242697</v>
      </c>
      <c r="L34" s="114">
        <f t="shared" si="5"/>
        <v>14677140.415820807</v>
      </c>
      <c r="M34" s="114">
        <f t="shared" si="6"/>
        <v>-3082199.4873223696</v>
      </c>
      <c r="N34" s="118">
        <f t="shared" si="7"/>
        <v>200398.8512671534</v>
      </c>
      <c r="O34" s="118">
        <f t="shared" si="11"/>
        <v>227778672.3451046</v>
      </c>
      <c r="P34" s="129"/>
    </row>
    <row r="35" spans="2:18" x14ac:dyDescent="0.25">
      <c r="B35" s="205">
        <v>45322</v>
      </c>
      <c r="C35" s="114">
        <v>243198713.56999996</v>
      </c>
      <c r="D35" s="225">
        <f t="shared" si="9"/>
        <v>242655485.56999996</v>
      </c>
      <c r="E35" s="114">
        <v>1348164.9220808002</v>
      </c>
      <c r="F35" s="227">
        <f t="shared" si="10"/>
        <v>524291.50587108359</v>
      </c>
      <c r="G35" s="115">
        <f t="shared" si="12"/>
        <v>525465.19325083343</v>
      </c>
      <c r="H35" s="114">
        <f t="shared" si="3"/>
        <v>-28363147.075474605</v>
      </c>
      <c r="I35" s="120">
        <f t="shared" si="4"/>
        <v>-12318905.243444089</v>
      </c>
      <c r="J35" s="114">
        <f t="shared" si="0"/>
        <v>214835566.49452537</v>
      </c>
      <c r="K35" s="120">
        <f t="shared" si="1"/>
        <v>230336580.32655588</v>
      </c>
      <c r="L35" s="114">
        <f t="shared" si="5"/>
        <v>15501013.832030505</v>
      </c>
      <c r="M35" s="114">
        <f t="shared" si="6"/>
        <v>-3255212.9047264061</v>
      </c>
      <c r="N35" s="118">
        <f t="shared" si="7"/>
        <v>173013.4174040365</v>
      </c>
      <c r="O35" s="118">
        <f t="shared" si="11"/>
        <v>227081367.42182946</v>
      </c>
      <c r="P35" s="129"/>
      <c r="Q35" s="198">
        <v>5432280</v>
      </c>
    </row>
    <row r="36" spans="2:18" x14ac:dyDescent="0.25">
      <c r="B36" s="205">
        <v>45350</v>
      </c>
      <c r="C36" s="114">
        <v>243198713.56999996</v>
      </c>
      <c r="D36" s="225">
        <f t="shared" si="9"/>
        <v>242655485.56999996</v>
      </c>
      <c r="E36" s="114">
        <v>1348164.9220808002</v>
      </c>
      <c r="F36" s="227">
        <f t="shared" si="10"/>
        <v>524291.50587108359</v>
      </c>
      <c r="G36" s="115">
        <f t="shared" si="12"/>
        <v>525465.19325083343</v>
      </c>
      <c r="H36" s="114">
        <f t="shared" si="3"/>
        <v>-29711311.997555405</v>
      </c>
      <c r="I36" s="120">
        <f t="shared" si="4"/>
        <v>-12843196.749315172</v>
      </c>
      <c r="J36" s="114">
        <f t="shared" si="0"/>
        <v>213487401.57244456</v>
      </c>
      <c r="K36" s="120">
        <f t="shared" si="1"/>
        <v>229812288.82068479</v>
      </c>
      <c r="L36" s="114">
        <f t="shared" si="5"/>
        <v>16324887.248240232</v>
      </c>
      <c r="M36" s="114">
        <f t="shared" si="6"/>
        <v>-3428226.3221304487</v>
      </c>
      <c r="N36" s="118">
        <f t="shared" si="7"/>
        <v>173013.41740404256</v>
      </c>
      <c r="O36" s="118">
        <f t="shared" si="11"/>
        <v>226384062.49855435</v>
      </c>
      <c r="P36" s="129"/>
      <c r="Q36" s="244">
        <v>0.1</v>
      </c>
      <c r="R36" s="78" t="s">
        <v>197</v>
      </c>
    </row>
    <row r="37" spans="2:18" x14ac:dyDescent="0.25">
      <c r="B37" s="205">
        <v>45382</v>
      </c>
      <c r="C37" s="114">
        <v>243198713.56999996</v>
      </c>
      <c r="D37" s="225">
        <f t="shared" si="9"/>
        <v>242655485.56999996</v>
      </c>
      <c r="E37" s="114">
        <v>1348164.9220808002</v>
      </c>
      <c r="F37" s="227">
        <f t="shared" si="10"/>
        <v>524291.50587108359</v>
      </c>
      <c r="G37" s="115">
        <f t="shared" si="12"/>
        <v>525465.19325083343</v>
      </c>
      <c r="H37" s="114">
        <f t="shared" si="3"/>
        <v>-31059476.919636205</v>
      </c>
      <c r="I37" s="120">
        <f t="shared" si="4"/>
        <v>-13367488.255186256</v>
      </c>
      <c r="J37" s="114">
        <f t="shared" si="0"/>
        <v>212139236.65036374</v>
      </c>
      <c r="K37" s="120">
        <f t="shared" si="1"/>
        <v>229287997.3148137</v>
      </c>
      <c r="L37" s="114">
        <f t="shared" si="5"/>
        <v>17148760.66444996</v>
      </c>
      <c r="M37" s="114">
        <f t="shared" si="6"/>
        <v>-3601239.7395344917</v>
      </c>
      <c r="N37" s="118">
        <f t="shared" si="7"/>
        <v>173013.41740404302</v>
      </c>
      <c r="O37" s="118">
        <f t="shared" si="11"/>
        <v>225686757.57527921</v>
      </c>
      <c r="P37" s="129"/>
      <c r="Q37" s="127">
        <f>Q35*Q36</f>
        <v>543228</v>
      </c>
    </row>
    <row r="38" spans="2:18" x14ac:dyDescent="0.25">
      <c r="B38" s="205">
        <v>45412</v>
      </c>
      <c r="C38" s="114">
        <v>243198713.56999996</v>
      </c>
      <c r="D38" s="225">
        <f t="shared" si="9"/>
        <v>242655485.56999996</v>
      </c>
      <c r="E38" s="114">
        <v>1348164.9220808002</v>
      </c>
      <c r="F38" s="227">
        <f t="shared" si="10"/>
        <v>524291.50587108359</v>
      </c>
      <c r="G38" s="115">
        <f t="shared" si="12"/>
        <v>525465.19325083343</v>
      </c>
      <c r="H38" s="114">
        <f t="shared" si="3"/>
        <v>-32407641.841717005</v>
      </c>
      <c r="I38" s="120">
        <f t="shared" si="4"/>
        <v>-13891779.76105734</v>
      </c>
      <c r="J38" s="114">
        <f t="shared" si="0"/>
        <v>210791071.72828296</v>
      </c>
      <c r="K38" s="120">
        <f t="shared" si="1"/>
        <v>228763705.80894262</v>
      </c>
      <c r="L38" s="114">
        <f t="shared" si="5"/>
        <v>17972634.080659658</v>
      </c>
      <c r="M38" s="114">
        <f t="shared" si="6"/>
        <v>-3774253.1569385282</v>
      </c>
      <c r="N38" s="118">
        <f t="shared" si="7"/>
        <v>173013.4174040365</v>
      </c>
      <c r="O38" s="118">
        <f t="shared" si="11"/>
        <v>224989452.65200409</v>
      </c>
      <c r="P38" s="129"/>
    </row>
    <row r="39" spans="2:18" x14ac:dyDescent="0.25">
      <c r="B39" s="205">
        <v>45443</v>
      </c>
      <c r="C39" s="114">
        <v>243198713.56999996</v>
      </c>
      <c r="D39" s="225">
        <f t="shared" si="9"/>
        <v>242655485.56999996</v>
      </c>
      <c r="E39" s="114">
        <v>1348164.9220808002</v>
      </c>
      <c r="F39" s="227">
        <f t="shared" si="10"/>
        <v>524291.50587108359</v>
      </c>
      <c r="G39" s="115">
        <f t="shared" si="12"/>
        <v>525465.19325083343</v>
      </c>
      <c r="H39" s="114">
        <f t="shared" si="3"/>
        <v>-33755806.763797805</v>
      </c>
      <c r="I39" s="120">
        <f t="shared" si="4"/>
        <v>-14416071.266928423</v>
      </c>
      <c r="J39" s="114">
        <f t="shared" si="0"/>
        <v>209442906.80620217</v>
      </c>
      <c r="K39" s="120">
        <f t="shared" si="1"/>
        <v>228239414.30307153</v>
      </c>
      <c r="L39" s="114">
        <f t="shared" si="5"/>
        <v>18796507.496869355</v>
      </c>
      <c r="M39" s="114">
        <f t="shared" si="6"/>
        <v>-3947266.5743425647</v>
      </c>
      <c r="N39" s="118">
        <f t="shared" si="7"/>
        <v>173013.4174040365</v>
      </c>
      <c r="O39" s="118">
        <f t="shared" si="11"/>
        <v>224292147.72872895</v>
      </c>
      <c r="P39" s="129"/>
    </row>
    <row r="40" spans="2:18" x14ac:dyDescent="0.25">
      <c r="B40" s="205">
        <v>45473</v>
      </c>
      <c r="C40" s="114">
        <v>243198713.56999996</v>
      </c>
      <c r="D40" s="225">
        <f t="shared" si="9"/>
        <v>242655485.56999996</v>
      </c>
      <c r="E40" s="114">
        <v>1348164.9220808002</v>
      </c>
      <c r="F40" s="227">
        <f t="shared" si="10"/>
        <v>524291.50587108359</v>
      </c>
      <c r="G40" s="115">
        <f t="shared" si="12"/>
        <v>525465.19325083343</v>
      </c>
      <c r="H40" s="114">
        <f t="shared" si="3"/>
        <v>-35103971.685878605</v>
      </c>
      <c r="I40" s="120">
        <f t="shared" si="4"/>
        <v>-14940362.772799507</v>
      </c>
      <c r="J40" s="114">
        <f t="shared" si="0"/>
        <v>208094741.88412136</v>
      </c>
      <c r="K40" s="120">
        <f t="shared" si="1"/>
        <v>227715122.79720044</v>
      </c>
      <c r="L40" s="114">
        <f t="shared" si="5"/>
        <v>19620380.913079083</v>
      </c>
      <c r="M40" s="114">
        <f t="shared" si="6"/>
        <v>-4120279.9917466072</v>
      </c>
      <c r="N40" s="118">
        <f t="shared" si="7"/>
        <v>173013.41740404256</v>
      </c>
      <c r="O40" s="118">
        <f t="shared" si="11"/>
        <v>223594842.80545384</v>
      </c>
      <c r="P40" s="129"/>
    </row>
    <row r="41" spans="2:18" x14ac:dyDescent="0.25">
      <c r="B41" s="205">
        <v>45504</v>
      </c>
      <c r="C41" s="114">
        <v>243198713.56999996</v>
      </c>
      <c r="D41" s="225">
        <f t="shared" si="9"/>
        <v>242655485.56999996</v>
      </c>
      <c r="E41" s="114">
        <v>1348164.9220808002</v>
      </c>
      <c r="F41" s="227">
        <f t="shared" si="10"/>
        <v>524291.50587108359</v>
      </c>
      <c r="G41" s="115">
        <f t="shared" si="12"/>
        <v>525465.19325083343</v>
      </c>
      <c r="H41" s="114">
        <f t="shared" si="3"/>
        <v>-36452136.607959405</v>
      </c>
      <c r="I41" s="120">
        <f t="shared" si="4"/>
        <v>-15464654.27867059</v>
      </c>
      <c r="J41" s="114">
        <f t="shared" si="0"/>
        <v>206746576.96204054</v>
      </c>
      <c r="K41" s="120">
        <f t="shared" si="1"/>
        <v>227190831.29132938</v>
      </c>
      <c r="L41" s="114">
        <f t="shared" si="5"/>
        <v>20444254.32928884</v>
      </c>
      <c r="M41" s="114">
        <f t="shared" si="6"/>
        <v>-4293293.4091506563</v>
      </c>
      <c r="N41" s="118">
        <f t="shared" si="7"/>
        <v>173013.41740404908</v>
      </c>
      <c r="O41" s="118">
        <f t="shared" si="11"/>
        <v>222897537.88217872</v>
      </c>
      <c r="P41" s="129"/>
    </row>
    <row r="42" spans="2:18" x14ac:dyDescent="0.25">
      <c r="B42" s="205">
        <v>45535</v>
      </c>
      <c r="C42" s="114">
        <v>243198713.56999996</v>
      </c>
      <c r="D42" s="225">
        <f t="shared" si="9"/>
        <v>242655485.56999996</v>
      </c>
      <c r="E42" s="114">
        <v>1348164.9220808002</v>
      </c>
      <c r="F42" s="227">
        <f t="shared" si="10"/>
        <v>524291.50587108359</v>
      </c>
      <c r="G42" s="115">
        <f t="shared" si="12"/>
        <v>525465.19325083343</v>
      </c>
      <c r="H42" s="114">
        <f t="shared" si="3"/>
        <v>-37800301.530040205</v>
      </c>
      <c r="I42" s="120">
        <f t="shared" si="4"/>
        <v>-15988945.784541674</v>
      </c>
      <c r="J42" s="114">
        <f t="shared" si="0"/>
        <v>205398412.03995976</v>
      </c>
      <c r="K42" s="120">
        <f t="shared" si="1"/>
        <v>226666539.7854583</v>
      </c>
      <c r="L42" s="114">
        <f t="shared" si="5"/>
        <v>21268127.745498538</v>
      </c>
      <c r="M42" s="114">
        <f t="shared" si="6"/>
        <v>-4466306.8265546933</v>
      </c>
      <c r="N42" s="118">
        <f t="shared" si="7"/>
        <v>173013.41740403697</v>
      </c>
      <c r="O42" s="118">
        <f t="shared" si="11"/>
        <v>222200232.95890361</v>
      </c>
      <c r="P42" s="129"/>
    </row>
    <row r="43" spans="2:18" x14ac:dyDescent="0.25">
      <c r="B43" s="205">
        <v>45565</v>
      </c>
      <c r="C43" s="114">
        <v>243198713.56999996</v>
      </c>
      <c r="D43" s="225">
        <f t="shared" si="9"/>
        <v>242655485.56999996</v>
      </c>
      <c r="E43" s="114">
        <v>1348164.9220808002</v>
      </c>
      <c r="F43" s="227">
        <f t="shared" si="10"/>
        <v>524291.50587108359</v>
      </c>
      <c r="G43" s="115">
        <f t="shared" si="12"/>
        <v>525465.19325083343</v>
      </c>
      <c r="H43" s="114">
        <f t="shared" si="3"/>
        <v>-39148466.452121004</v>
      </c>
      <c r="I43" s="120">
        <f t="shared" si="4"/>
        <v>-16513237.290412758</v>
      </c>
      <c r="J43" s="114">
        <f t="shared" si="0"/>
        <v>204050247.11787897</v>
      </c>
      <c r="K43" s="120">
        <f t="shared" si="1"/>
        <v>226142248.27958721</v>
      </c>
      <c r="L43" s="114">
        <f t="shared" si="5"/>
        <v>22092001.161708236</v>
      </c>
      <c r="M43" s="114">
        <f t="shared" si="6"/>
        <v>-4639320.2439587293</v>
      </c>
      <c r="N43" s="118">
        <f t="shared" si="7"/>
        <v>173013.41740403604</v>
      </c>
      <c r="O43" s="118">
        <f t="shared" si="11"/>
        <v>221502928.03562847</v>
      </c>
      <c r="P43" s="129"/>
    </row>
    <row r="44" spans="2:18" ht="15.75" thickBot="1" x14ac:dyDescent="0.3">
      <c r="B44" s="205">
        <v>45596</v>
      </c>
      <c r="C44" s="114">
        <v>243198713.56999996</v>
      </c>
      <c r="D44" s="225">
        <f t="shared" si="9"/>
        <v>242655485.56999996</v>
      </c>
      <c r="E44" s="114">
        <v>1348164.9220808002</v>
      </c>
      <c r="F44" s="227">
        <f t="shared" si="10"/>
        <v>524291.50587108359</v>
      </c>
      <c r="G44" s="115">
        <f t="shared" si="12"/>
        <v>525465.19325083343</v>
      </c>
      <c r="H44" s="114">
        <f t="shared" si="3"/>
        <v>-40496631.374201804</v>
      </c>
      <c r="I44" s="120">
        <f t="shared" si="4"/>
        <v>-17037528.796283841</v>
      </c>
      <c r="J44" s="114">
        <f t="shared" si="0"/>
        <v>202702082.19579816</v>
      </c>
      <c r="K44" s="120">
        <f t="shared" si="1"/>
        <v>225617956.77371612</v>
      </c>
      <c r="L44" s="114">
        <f t="shared" si="5"/>
        <v>22915874.577917963</v>
      </c>
      <c r="M44" s="114">
        <f t="shared" si="6"/>
        <v>-4812333.6613627719</v>
      </c>
      <c r="N44" s="118">
        <f t="shared" si="7"/>
        <v>173013.41740404256</v>
      </c>
      <c r="O44" s="118">
        <f t="shared" si="11"/>
        <v>220805623.11235335</v>
      </c>
      <c r="P44" s="129"/>
    </row>
    <row r="45" spans="2:18" ht="15.75" thickBot="1" x14ac:dyDescent="0.3">
      <c r="B45" s="207">
        <v>45626</v>
      </c>
      <c r="C45" s="208">
        <v>243198713.56999996</v>
      </c>
      <c r="D45" s="234">
        <f t="shared" si="9"/>
        <v>242655485.56999996</v>
      </c>
      <c r="E45" s="208">
        <v>1348164.9220808002</v>
      </c>
      <c r="F45" s="240">
        <f t="shared" si="10"/>
        <v>524291.50587108359</v>
      </c>
      <c r="G45" s="243">
        <f t="shared" si="12"/>
        <v>525465.19325083343</v>
      </c>
      <c r="H45" s="208">
        <f t="shared" si="3"/>
        <v>-41844796.296282604</v>
      </c>
      <c r="I45" s="209">
        <f t="shared" si="4"/>
        <v>-17561820.302154925</v>
      </c>
      <c r="J45" s="208">
        <f t="shared" si="0"/>
        <v>201353917.27371734</v>
      </c>
      <c r="K45" s="209">
        <f t="shared" si="1"/>
        <v>225093665.26784503</v>
      </c>
      <c r="L45" s="208">
        <f t="shared" si="5"/>
        <v>23739747.994127691</v>
      </c>
      <c r="M45" s="208">
        <f t="shared" si="6"/>
        <v>-4985347.0787668144</v>
      </c>
      <c r="N45" s="210">
        <f t="shared" si="7"/>
        <v>173013.41740404256</v>
      </c>
      <c r="O45" s="210">
        <f t="shared" si="11"/>
        <v>220108318.18907821</v>
      </c>
      <c r="P45" s="129"/>
    </row>
    <row r="46" spans="2:18" x14ac:dyDescent="0.25">
      <c r="B46" s="77"/>
      <c r="P46" s="129"/>
    </row>
    <row r="47" spans="2:18" x14ac:dyDescent="0.25">
      <c r="B47" s="164" t="s">
        <v>160</v>
      </c>
    </row>
    <row r="49" spans="2:3" x14ac:dyDescent="0.25">
      <c r="B49" s="211" t="s">
        <v>177</v>
      </c>
      <c r="C49" s="177"/>
    </row>
    <row r="50" spans="2:3" x14ac:dyDescent="0.25">
      <c r="B50" s="126" t="s">
        <v>77</v>
      </c>
      <c r="C50" s="198">
        <f>(D32+D44+SUM(D33:D43)*2)/24</f>
        <v>242655485.57000002</v>
      </c>
    </row>
    <row r="51" spans="2:3" x14ac:dyDescent="0.25">
      <c r="B51" s="78" t="s">
        <v>183</v>
      </c>
      <c r="C51" s="127">
        <f>(I32+I44+SUM(I33:I43)*2)/24</f>
        <v>-13891779.76105734</v>
      </c>
    </row>
    <row r="52" spans="2:3" x14ac:dyDescent="0.25">
      <c r="B52" s="78" t="s">
        <v>87</v>
      </c>
      <c r="C52" s="127">
        <f>(M32+M44+SUM(M33:M43)*2)/24</f>
        <v>-3769688.9179613441</v>
      </c>
    </row>
  </sheetData>
  <printOptions horizontalCentered="1"/>
  <pageMargins left="0.2" right="0.2" top="0.25" bottom="0.25" header="0.3" footer="0.3"/>
  <pageSetup scale="75" orientation="landscape" r:id="rId1"/>
  <headerFooter>
    <oddFooter>&amp;R&amp;"Times New Roman,Regular"&amp;10Exh. SEF-3 page 2 of 16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5" sqref="C35"/>
    </sheetView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>
      <selection activeCell="D7" sqref="D7"/>
    </sheetView>
  </sheetViews>
  <sheetFormatPr defaultRowHeight="15" x14ac:dyDescent="0.25"/>
  <cols>
    <col min="3" max="3" width="20.85546875" bestFit="1" customWidth="1"/>
    <col min="4" max="4" width="14.28515625" bestFit="1" customWidth="1"/>
    <col min="5" max="5" width="17.5703125" bestFit="1" customWidth="1"/>
  </cols>
  <sheetData>
    <row r="2" spans="2:5" x14ac:dyDescent="0.25">
      <c r="B2" s="5" t="s">
        <v>133</v>
      </c>
    </row>
    <row r="3" spans="2:5" x14ac:dyDescent="0.25">
      <c r="D3" s="76" t="s">
        <v>169</v>
      </c>
      <c r="E3" s="76" t="s">
        <v>170</v>
      </c>
    </row>
    <row r="4" spans="2:5" x14ac:dyDescent="0.25">
      <c r="C4" s="3" t="s">
        <v>79</v>
      </c>
      <c r="D4" s="3" t="s">
        <v>130</v>
      </c>
      <c r="E4" s="3" t="s">
        <v>171</v>
      </c>
    </row>
    <row r="5" spans="2:5" x14ac:dyDescent="0.25">
      <c r="C5" t="s">
        <v>134</v>
      </c>
      <c r="D5" s="4">
        <f>'LNG O&amp;M Deferral'!F110</f>
        <v>2219773.4122170513</v>
      </c>
      <c r="E5" s="4">
        <f>'LNG O&amp;M Deferral'!$M$59</f>
        <v>6137673.4847801458</v>
      </c>
    </row>
    <row r="6" spans="2:5" x14ac:dyDescent="0.25">
      <c r="C6" t="s">
        <v>166</v>
      </c>
      <c r="D6" s="170">
        <f>'LNG Depreciation Deferral'!F109</f>
        <v>2686507.6814577095</v>
      </c>
      <c r="E6" s="170">
        <f>'LNG Depreciation Deferral'!$M$59</f>
        <v>7428193.7392305667</v>
      </c>
    </row>
    <row r="7" spans="2:5" x14ac:dyDescent="0.25">
      <c r="C7" t="s">
        <v>167</v>
      </c>
      <c r="D7" s="170">
        <f>'LNG Return Deferral'!F111</f>
        <v>4070735.1581540164</v>
      </c>
      <c r="E7" s="170">
        <f>'LNG Return Deferral'!$M$59</f>
        <v>11255582.712295862</v>
      </c>
    </row>
    <row r="8" spans="2:5" ht="15.75" thickBot="1" x14ac:dyDescent="0.3">
      <c r="C8" t="s">
        <v>21</v>
      </c>
      <c r="D8" s="171">
        <f>SUM(D5:D7)</f>
        <v>8977016.2518287767</v>
      </c>
      <c r="E8" s="144">
        <f>SUM(E5:E7)</f>
        <v>24821449.936306573</v>
      </c>
    </row>
    <row r="9" spans="2:5" ht="15.75" thickTop="1" x14ac:dyDescent="0.25">
      <c r="C9" t="s">
        <v>154</v>
      </c>
      <c r="D9" s="172">
        <v>0.79</v>
      </c>
      <c r="E9" s="143" t="s">
        <v>172</v>
      </c>
    </row>
    <row r="10" spans="2:5" ht="15.75" thickBot="1" x14ac:dyDescent="0.3">
      <c r="C10" t="s">
        <v>168</v>
      </c>
      <c r="D10" s="144">
        <f>-D8*D9</f>
        <v>-7091842.8389447341</v>
      </c>
      <c r="E10" s="143" t="s">
        <v>172</v>
      </c>
    </row>
    <row r="11" spans="2:5" ht="15.75" thickTop="1" x14ac:dyDescent="0.25"/>
    <row r="13" spans="2:5" x14ac:dyDescent="0.25">
      <c r="C13" t="s">
        <v>132</v>
      </c>
      <c r="E13" s="173">
        <f>SUM(E5:E6)</f>
        <v>13565867.224010713</v>
      </c>
    </row>
    <row r="14" spans="2:5" x14ac:dyDescent="0.25">
      <c r="C14" t="s">
        <v>173</v>
      </c>
      <c r="E14" s="174">
        <f>E7</f>
        <v>11255582.712295862</v>
      </c>
    </row>
    <row r="15" spans="2:5" ht="15.75" thickBot="1" x14ac:dyDescent="0.3">
      <c r="C15" t="s">
        <v>21</v>
      </c>
      <c r="E15" s="144">
        <f>SUM(E13:E14)</f>
        <v>24821449.936306573</v>
      </c>
    </row>
    <row r="16" spans="2:5" ht="15.75" thickTop="1" x14ac:dyDescent="0.25"/>
  </sheetData>
  <pageMargins left="0.7" right="0.7" top="0.75" bottom="0.75" header="0.3" footer="0.3"/>
  <pageSetup orientation="portrait" horizontalDpi="1200" verticalDpi="1200" r:id="rId1"/>
  <headerFooter>
    <oddFooter>&amp;R&amp;"Times New Roman,Regular"&amp;10Exh. SEF-3 page 3 of 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workbookViewId="0">
      <pane xSplit="1" ySplit="9" topLeftCell="B96" activePane="bottomRight" state="frozen"/>
      <selection activeCell="C35" sqref="C35"/>
      <selection pane="topRight" activeCell="C35" sqref="C35"/>
      <selection pane="bottomLeft" activeCell="C35" sqref="C35"/>
      <selection pane="bottomRight" activeCell="G111" sqref="G111"/>
    </sheetView>
  </sheetViews>
  <sheetFormatPr defaultColWidth="9.140625" defaultRowHeight="12.75" outlineLevelRow="1" x14ac:dyDescent="0.2"/>
  <cols>
    <col min="1" max="1" width="9.7109375" style="30" customWidth="1"/>
    <col min="2" max="2" width="8.85546875" style="66" bestFit="1" customWidth="1"/>
    <col min="3" max="3" width="11.28515625" style="66" customWidth="1"/>
    <col min="4" max="4" width="10.28515625" style="66" bestFit="1" customWidth="1"/>
    <col min="5" max="5" width="10.7109375" style="66" bestFit="1" customWidth="1"/>
    <col min="6" max="6" width="15" style="66" bestFit="1" customWidth="1"/>
    <col min="7" max="7" width="16.140625" style="66" bestFit="1" customWidth="1"/>
    <col min="8" max="8" width="12.140625" style="66" bestFit="1" customWidth="1"/>
    <col min="9" max="9" width="11.42578125" style="66" bestFit="1" customWidth="1"/>
    <col min="10" max="10" width="15" style="66" bestFit="1" customWidth="1"/>
    <col min="11" max="11" width="16.7109375" style="66" bestFit="1" customWidth="1"/>
    <col min="12" max="12" width="11.28515625" style="66" bestFit="1" customWidth="1"/>
    <col min="13" max="13" width="11.42578125" style="66" bestFit="1" customWidth="1"/>
    <col min="14" max="14" width="11.140625" style="66" bestFit="1" customWidth="1"/>
    <col min="15" max="15" width="6.28515625" style="30" bestFit="1" customWidth="1"/>
    <col min="16" max="16384" width="9.140625" style="30"/>
  </cols>
  <sheetData>
    <row r="1" spans="1:15" x14ac:dyDescent="0.2">
      <c r="A1" s="27" t="s">
        <v>43</v>
      </c>
      <c r="B1" s="28"/>
      <c r="C1" s="28"/>
      <c r="D1" s="28"/>
      <c r="E1" s="28"/>
      <c r="F1" s="28"/>
      <c r="G1" s="28"/>
      <c r="H1" s="28"/>
      <c r="I1" s="28"/>
      <c r="J1" s="29"/>
      <c r="K1" s="29"/>
      <c r="L1" s="29"/>
      <c r="M1" s="29"/>
      <c r="N1" s="30"/>
    </row>
    <row r="2" spans="1:15" x14ac:dyDescent="0.2">
      <c r="A2" s="27" t="s">
        <v>184</v>
      </c>
      <c r="B2" s="28"/>
      <c r="C2" s="28"/>
      <c r="D2" s="28"/>
      <c r="E2" s="28"/>
      <c r="F2" s="28"/>
      <c r="G2" s="28"/>
      <c r="H2" s="28"/>
      <c r="I2" s="28"/>
      <c r="J2" s="29"/>
      <c r="K2" s="29"/>
      <c r="L2" s="29"/>
      <c r="M2" s="29"/>
      <c r="N2" s="30"/>
    </row>
    <row r="3" spans="1:15" x14ac:dyDescent="0.2">
      <c r="A3" s="27" t="s">
        <v>45</v>
      </c>
      <c r="B3" s="28"/>
      <c r="C3" s="28"/>
      <c r="D3" s="28"/>
      <c r="E3" s="28"/>
      <c r="F3" s="28"/>
      <c r="G3" s="28"/>
      <c r="H3" s="28"/>
      <c r="I3" s="28"/>
      <c r="J3" s="29"/>
      <c r="K3" s="29"/>
      <c r="L3" s="29"/>
      <c r="M3" s="29"/>
      <c r="N3" s="30"/>
    </row>
    <row r="4" spans="1:15" x14ac:dyDescent="0.2">
      <c r="A4" s="28"/>
      <c r="B4" s="28"/>
      <c r="C4" s="31"/>
      <c r="D4" s="32"/>
      <c r="E4" s="33"/>
      <c r="F4" s="34"/>
      <c r="G4" s="34"/>
      <c r="H4" s="34"/>
      <c r="I4" s="34"/>
      <c r="J4" s="35"/>
      <c r="K4" s="36"/>
      <c r="L4" s="35"/>
      <c r="M4" s="35"/>
      <c r="N4" s="30"/>
    </row>
    <row r="5" spans="1:15" x14ac:dyDescent="0.2">
      <c r="A5" s="29"/>
      <c r="B5" s="29"/>
      <c r="C5" s="37" t="s">
        <v>46</v>
      </c>
      <c r="D5" s="38"/>
      <c r="E5" s="35"/>
      <c r="F5" s="39"/>
      <c r="G5" s="39"/>
      <c r="H5" s="39"/>
      <c r="I5" s="39"/>
      <c r="J5" s="40"/>
      <c r="K5" s="39"/>
      <c r="L5" s="39"/>
      <c r="M5" s="39"/>
      <c r="N5" s="30"/>
    </row>
    <row r="6" spans="1:15" x14ac:dyDescent="0.2">
      <c r="A6" s="41"/>
      <c r="B6" s="41"/>
      <c r="C6" s="42" t="s">
        <v>47</v>
      </c>
      <c r="D6" s="42" t="s">
        <v>48</v>
      </c>
      <c r="E6" s="42" t="s">
        <v>49</v>
      </c>
      <c r="F6" s="42" t="s">
        <v>50</v>
      </c>
      <c r="G6" s="42" t="s">
        <v>51</v>
      </c>
      <c r="H6" s="42" t="s">
        <v>52</v>
      </c>
      <c r="I6" s="42" t="s">
        <v>41</v>
      </c>
      <c r="J6" s="42" t="s">
        <v>50</v>
      </c>
      <c r="K6" s="42" t="s">
        <v>51</v>
      </c>
      <c r="L6" s="42" t="s">
        <v>53</v>
      </c>
      <c r="M6" s="43" t="s">
        <v>54</v>
      </c>
      <c r="N6" s="44" t="s">
        <v>48</v>
      </c>
      <c r="O6" s="146" t="s">
        <v>156</v>
      </c>
    </row>
    <row r="7" spans="1:15" x14ac:dyDescent="0.2">
      <c r="A7" s="39" t="s">
        <v>55</v>
      </c>
      <c r="B7" s="45"/>
      <c r="C7" s="39" t="s">
        <v>56</v>
      </c>
      <c r="D7" s="39"/>
      <c r="E7" s="39" t="s">
        <v>48</v>
      </c>
      <c r="F7" s="39" t="s">
        <v>57</v>
      </c>
      <c r="G7" s="39" t="s">
        <v>57</v>
      </c>
      <c r="H7" s="39" t="s">
        <v>57</v>
      </c>
      <c r="I7" s="39" t="s">
        <v>58</v>
      </c>
      <c r="J7" s="39" t="s">
        <v>59</v>
      </c>
      <c r="K7" s="39" t="s">
        <v>59</v>
      </c>
      <c r="L7" s="39" t="s">
        <v>41</v>
      </c>
      <c r="M7" s="46" t="s">
        <v>53</v>
      </c>
      <c r="N7" s="47" t="s">
        <v>60</v>
      </c>
      <c r="O7" s="146" t="s">
        <v>158</v>
      </c>
    </row>
    <row r="8" spans="1:15" x14ac:dyDescent="0.2">
      <c r="A8" s="39" t="s">
        <v>61</v>
      </c>
      <c r="B8" s="45"/>
      <c r="C8" s="39" t="s">
        <v>62</v>
      </c>
      <c r="D8" s="39" t="s">
        <v>63</v>
      </c>
      <c r="E8" s="39" t="s">
        <v>64</v>
      </c>
      <c r="F8" s="39" t="s">
        <v>65</v>
      </c>
      <c r="G8" s="48" t="s">
        <v>66</v>
      </c>
      <c r="H8" s="39" t="s">
        <v>67</v>
      </c>
      <c r="I8" s="39" t="s">
        <v>68</v>
      </c>
      <c r="J8" s="39" t="s">
        <v>69</v>
      </c>
      <c r="K8" s="39" t="s">
        <v>70</v>
      </c>
      <c r="L8" s="39" t="s">
        <v>71</v>
      </c>
      <c r="M8" s="46" t="s">
        <v>72</v>
      </c>
      <c r="N8" s="47" t="s">
        <v>73</v>
      </c>
      <c r="O8" s="147" t="s">
        <v>157</v>
      </c>
    </row>
    <row r="9" spans="1:15" x14ac:dyDescent="0.2">
      <c r="A9" s="49"/>
      <c r="B9" s="49"/>
      <c r="C9" s="50"/>
      <c r="D9" s="50"/>
      <c r="E9" s="50"/>
      <c r="F9" s="51" t="s">
        <v>74</v>
      </c>
      <c r="G9" s="50"/>
      <c r="H9" s="50"/>
      <c r="I9" s="50"/>
      <c r="J9" s="50" t="s">
        <v>75</v>
      </c>
      <c r="K9" s="52"/>
      <c r="L9" s="50"/>
      <c r="M9" s="53"/>
      <c r="N9" s="54"/>
      <c r="O9" s="146">
        <v>0.21</v>
      </c>
    </row>
    <row r="10" spans="1:15" x14ac:dyDescent="0.2">
      <c r="A10" s="55"/>
      <c r="B10" s="29"/>
      <c r="C10" s="39"/>
      <c r="D10" s="56"/>
      <c r="E10" s="57"/>
      <c r="F10" s="39"/>
      <c r="G10" s="39"/>
      <c r="H10" s="56"/>
      <c r="I10" s="56"/>
      <c r="J10" s="58"/>
      <c r="K10" s="58"/>
      <c r="L10" s="58"/>
      <c r="M10" s="59"/>
      <c r="N10" s="60"/>
    </row>
    <row r="11" spans="1:15" x14ac:dyDescent="0.2">
      <c r="A11" s="61" t="s">
        <v>76</v>
      </c>
      <c r="B11" s="61"/>
      <c r="C11" s="62"/>
      <c r="D11" s="56"/>
      <c r="E11" s="63"/>
      <c r="F11" s="56"/>
      <c r="G11" s="56"/>
      <c r="H11" s="56"/>
      <c r="I11" s="56"/>
      <c r="J11" s="63"/>
      <c r="K11" s="63"/>
      <c r="L11" s="63"/>
      <c r="M11" s="59"/>
      <c r="N11" s="64"/>
    </row>
    <row r="12" spans="1:15" hidden="1" outlineLevel="1" x14ac:dyDescent="0.2">
      <c r="A12" s="61">
        <v>44165</v>
      </c>
      <c r="B12" s="61"/>
      <c r="C12" s="62"/>
      <c r="D12" s="56"/>
      <c r="E12" s="63"/>
      <c r="F12" s="56"/>
      <c r="G12" s="56"/>
      <c r="H12" s="56"/>
      <c r="I12" s="56"/>
      <c r="J12" s="63"/>
      <c r="K12" s="63"/>
      <c r="L12" s="63"/>
      <c r="M12" s="58"/>
      <c r="N12" s="64"/>
    </row>
    <row r="13" spans="1:15" hidden="1" outlineLevel="1" x14ac:dyDescent="0.2">
      <c r="A13" s="61">
        <v>44196</v>
      </c>
      <c r="B13" s="61"/>
      <c r="C13" s="62"/>
      <c r="D13" s="56"/>
      <c r="E13" s="63"/>
      <c r="F13" s="56"/>
      <c r="G13" s="56"/>
      <c r="H13" s="56"/>
      <c r="I13" s="56"/>
      <c r="J13" s="63"/>
      <c r="K13" s="63"/>
      <c r="L13" s="63"/>
      <c r="M13" s="58"/>
      <c r="N13" s="64"/>
    </row>
    <row r="14" spans="1:15" hidden="1" outlineLevel="1" x14ac:dyDescent="0.2">
      <c r="A14" s="61">
        <v>44227</v>
      </c>
      <c r="B14" s="61"/>
      <c r="C14" s="62"/>
      <c r="D14" s="56"/>
      <c r="E14" s="63"/>
      <c r="F14" s="56"/>
      <c r="G14" s="56"/>
      <c r="H14" s="56"/>
      <c r="I14" s="56"/>
      <c r="J14" s="63"/>
      <c r="K14" s="63"/>
      <c r="L14" s="63"/>
      <c r="M14" s="58"/>
      <c r="N14" s="64"/>
    </row>
    <row r="15" spans="1:15" hidden="1" outlineLevel="1" x14ac:dyDescent="0.2">
      <c r="A15" s="61">
        <v>44255</v>
      </c>
      <c r="B15" s="61"/>
      <c r="C15" s="62"/>
      <c r="D15" s="56"/>
      <c r="E15" s="63"/>
      <c r="F15" s="56"/>
      <c r="G15" s="56"/>
      <c r="H15" s="56"/>
      <c r="I15" s="56"/>
      <c r="J15" s="63"/>
      <c r="K15" s="63"/>
      <c r="L15" s="63"/>
      <c r="M15" s="58"/>
      <c r="N15" s="64"/>
    </row>
    <row r="16" spans="1:15" hidden="1" outlineLevel="1" x14ac:dyDescent="0.2">
      <c r="A16" s="61">
        <v>44286</v>
      </c>
      <c r="B16" s="61"/>
      <c r="C16" s="62"/>
      <c r="D16" s="56"/>
      <c r="E16" s="63"/>
      <c r="F16" s="56"/>
      <c r="G16" s="56"/>
      <c r="H16" s="56"/>
      <c r="I16" s="56"/>
      <c r="J16" s="63"/>
      <c r="K16" s="63"/>
      <c r="L16" s="63"/>
      <c r="M16" s="58"/>
      <c r="N16" s="64"/>
    </row>
    <row r="17" spans="1:15" hidden="1" outlineLevel="1" x14ac:dyDescent="0.2">
      <c r="A17" s="61">
        <v>44316</v>
      </c>
      <c r="B17" s="61"/>
      <c r="C17" s="62"/>
      <c r="D17" s="56"/>
      <c r="E17" s="63"/>
      <c r="F17" s="56"/>
      <c r="G17" s="56"/>
      <c r="H17" s="56"/>
      <c r="I17" s="56"/>
      <c r="J17" s="63"/>
      <c r="K17" s="63"/>
      <c r="L17" s="63"/>
      <c r="M17" s="58"/>
      <c r="N17" s="64"/>
    </row>
    <row r="18" spans="1:15" hidden="1" outlineLevel="1" x14ac:dyDescent="0.2">
      <c r="A18" s="61">
        <v>44347</v>
      </c>
      <c r="B18" s="61"/>
      <c r="C18" s="62"/>
      <c r="D18" s="56"/>
      <c r="E18" s="63"/>
      <c r="F18" s="56"/>
      <c r="G18" s="56"/>
      <c r="H18" s="56"/>
      <c r="I18" s="56"/>
      <c r="J18" s="63"/>
      <c r="K18" s="63"/>
      <c r="L18" s="63"/>
      <c r="M18" s="58"/>
      <c r="N18" s="64"/>
    </row>
    <row r="19" spans="1:15" hidden="1" outlineLevel="1" x14ac:dyDescent="0.2">
      <c r="A19" s="61">
        <v>44377</v>
      </c>
      <c r="B19" s="61"/>
      <c r="C19" s="62"/>
      <c r="D19" s="56"/>
      <c r="E19" s="63"/>
      <c r="F19" s="56"/>
      <c r="G19" s="56"/>
      <c r="H19" s="56"/>
      <c r="I19" s="56"/>
      <c r="J19" s="63"/>
      <c r="K19" s="63"/>
      <c r="L19" s="63"/>
      <c r="M19" s="58"/>
      <c r="N19" s="64"/>
    </row>
    <row r="20" spans="1:15" hidden="1" outlineLevel="1" x14ac:dyDescent="0.2">
      <c r="A20" s="61">
        <v>44408</v>
      </c>
      <c r="B20" s="61"/>
      <c r="C20" s="62"/>
      <c r="D20" s="56"/>
      <c r="E20" s="63"/>
      <c r="F20" s="56"/>
      <c r="G20" s="56"/>
      <c r="H20" s="56"/>
      <c r="I20" s="56"/>
      <c r="J20" s="63"/>
      <c r="K20" s="63"/>
      <c r="L20" s="63"/>
      <c r="M20" s="58"/>
      <c r="N20" s="64"/>
    </row>
    <row r="21" spans="1:15" hidden="1" outlineLevel="1" x14ac:dyDescent="0.2">
      <c r="A21" s="61">
        <v>44439</v>
      </c>
      <c r="B21" s="61"/>
      <c r="C21" s="62"/>
      <c r="D21" s="56"/>
      <c r="E21" s="63"/>
      <c r="F21" s="56"/>
      <c r="G21" s="56"/>
      <c r="H21" s="56"/>
      <c r="I21" s="56"/>
      <c r="J21" s="63"/>
      <c r="K21" s="63"/>
      <c r="L21" s="63"/>
      <c r="M21" s="58"/>
      <c r="N21" s="64"/>
    </row>
    <row r="22" spans="1:15" hidden="1" outlineLevel="1" x14ac:dyDescent="0.2">
      <c r="A22" s="61">
        <v>44469</v>
      </c>
      <c r="B22" s="61"/>
      <c r="C22" s="79"/>
      <c r="D22" s="56"/>
      <c r="E22" s="63"/>
      <c r="F22" s="56"/>
      <c r="G22" s="56"/>
      <c r="H22" s="56"/>
      <c r="I22" s="56"/>
      <c r="J22" s="63"/>
      <c r="K22" s="63"/>
      <c r="L22" s="63"/>
      <c r="M22" s="58"/>
      <c r="N22" s="64"/>
    </row>
    <row r="23" spans="1:15" hidden="1" outlineLevel="1" x14ac:dyDescent="0.2">
      <c r="A23" s="61">
        <v>44500</v>
      </c>
      <c r="B23" s="61"/>
      <c r="C23" s="79"/>
      <c r="D23" s="56"/>
      <c r="E23" s="63"/>
      <c r="F23" s="56"/>
      <c r="G23" s="56"/>
      <c r="H23" s="56"/>
      <c r="I23" s="56"/>
      <c r="J23" s="63"/>
      <c r="K23" s="63"/>
      <c r="L23" s="63"/>
      <c r="M23" s="58"/>
      <c r="N23" s="64"/>
    </row>
    <row r="24" spans="1:15" collapsed="1" x14ac:dyDescent="0.2">
      <c r="A24" s="61">
        <v>44530</v>
      </c>
      <c r="B24" s="61"/>
      <c r="C24" s="62"/>
      <c r="D24" s="63">
        <f>D11+C24</f>
        <v>0</v>
      </c>
      <c r="E24" s="63">
        <f t="shared" ref="E24:E87" si="0">(D12+D24+SUM(D13:D23)*2)/24</f>
        <v>0</v>
      </c>
      <c r="F24" s="63">
        <v>0</v>
      </c>
      <c r="G24" s="63">
        <v>0</v>
      </c>
      <c r="H24" s="63">
        <v>0</v>
      </c>
      <c r="I24" s="63">
        <v>0</v>
      </c>
      <c r="J24" s="63">
        <f t="shared" ref="J24:J87" si="1">(-C24*0.21)+(F24*0.21)</f>
        <v>0</v>
      </c>
      <c r="K24" s="63">
        <f t="shared" ref="K24:K87" si="2">K23+J24</f>
        <v>0</v>
      </c>
      <c r="L24" s="63">
        <v>0</v>
      </c>
      <c r="M24" s="63">
        <v>0</v>
      </c>
      <c r="N24" s="65">
        <v>0</v>
      </c>
    </row>
    <row r="25" spans="1:15" x14ac:dyDescent="0.2">
      <c r="A25" s="61">
        <v>44561</v>
      </c>
      <c r="B25" s="61"/>
      <c r="C25" s="62"/>
      <c r="D25" s="63">
        <f t="shared" ref="D25:D88" si="3">D24+C25</f>
        <v>0</v>
      </c>
      <c r="E25" s="63">
        <f t="shared" si="0"/>
        <v>0</v>
      </c>
      <c r="F25" s="63">
        <v>0</v>
      </c>
      <c r="G25" s="63">
        <v>0</v>
      </c>
      <c r="H25" s="63">
        <v>0</v>
      </c>
      <c r="I25" s="63">
        <v>0</v>
      </c>
      <c r="J25" s="63">
        <f t="shared" si="1"/>
        <v>0</v>
      </c>
      <c r="K25" s="63">
        <f t="shared" si="2"/>
        <v>0</v>
      </c>
      <c r="L25" s="63">
        <v>0</v>
      </c>
      <c r="M25" s="63">
        <v>0</v>
      </c>
      <c r="N25" s="65">
        <v>0</v>
      </c>
    </row>
    <row r="26" spans="1:15" x14ac:dyDescent="0.2">
      <c r="A26" s="61">
        <v>44592</v>
      </c>
      <c r="B26" s="61"/>
      <c r="C26" s="62"/>
      <c r="D26" s="63">
        <f t="shared" si="3"/>
        <v>0</v>
      </c>
      <c r="E26" s="63">
        <f>(D14+D26+SUM(D15:D25)*2)/24</f>
        <v>0</v>
      </c>
      <c r="F26" s="124"/>
      <c r="G26" s="63">
        <f t="shared" ref="G26:G37" si="4">G25-F26</f>
        <v>0</v>
      </c>
      <c r="H26" s="63">
        <f t="shared" ref="H26:H37" si="5">(G14+G26+SUM(G15:G25)*2)/24</f>
        <v>0</v>
      </c>
      <c r="I26" s="63">
        <f>E26+H26</f>
        <v>0</v>
      </c>
      <c r="J26" s="63">
        <f t="shared" si="1"/>
        <v>0</v>
      </c>
      <c r="K26" s="63">
        <f t="shared" si="2"/>
        <v>0</v>
      </c>
      <c r="L26" s="63">
        <f t="shared" ref="L26:L36" si="6">(K14+K26+SUM(K15:K25)*2)/24</f>
        <v>0</v>
      </c>
      <c r="M26" s="63">
        <f>I26+L26</f>
        <v>0</v>
      </c>
      <c r="N26" s="65">
        <f t="shared" ref="N26:N36" si="7">+D26+G26+K26</f>
        <v>0</v>
      </c>
      <c r="O26" s="145"/>
    </row>
    <row r="27" spans="1:15" x14ac:dyDescent="0.2">
      <c r="A27" s="61">
        <v>44620</v>
      </c>
      <c r="B27" s="61"/>
      <c r="C27" s="62">
        <v>343277.89</v>
      </c>
      <c r="D27" s="63">
        <f t="shared" si="3"/>
        <v>343277.89</v>
      </c>
      <c r="E27" s="63">
        <f>(D15+D27+SUM(D16:D26)*2)/24</f>
        <v>14303.245416666667</v>
      </c>
      <c r="F27" s="124"/>
      <c r="G27" s="63">
        <f t="shared" si="4"/>
        <v>0</v>
      </c>
      <c r="H27" s="63">
        <f t="shared" si="5"/>
        <v>0</v>
      </c>
      <c r="I27" s="63">
        <f t="shared" ref="I27:I37" si="8">E27+H27</f>
        <v>14303.245416666667</v>
      </c>
      <c r="J27" s="63">
        <f t="shared" si="1"/>
        <v>-72088.356899999999</v>
      </c>
      <c r="K27" s="63">
        <f t="shared" si="2"/>
        <v>-72088.356899999999</v>
      </c>
      <c r="L27" s="63">
        <f t="shared" si="6"/>
        <v>-3003.6815375000001</v>
      </c>
      <c r="M27" s="63">
        <f t="shared" ref="M27:M36" si="9">I27+L27</f>
        <v>11299.563879166666</v>
      </c>
      <c r="N27" s="65">
        <f t="shared" si="7"/>
        <v>271189.5331</v>
      </c>
      <c r="O27" s="145">
        <f t="shared" ref="O27:O90" si="10">-K27/(D27+G27)</f>
        <v>0.21</v>
      </c>
    </row>
    <row r="28" spans="1:15" x14ac:dyDescent="0.2">
      <c r="A28" s="61">
        <v>44651</v>
      </c>
      <c r="B28" s="61"/>
      <c r="C28" s="62">
        <v>306629.76000000001</v>
      </c>
      <c r="D28" s="63">
        <f t="shared" si="3"/>
        <v>649907.65</v>
      </c>
      <c r="E28" s="63">
        <f t="shared" si="0"/>
        <v>55685.976250000007</v>
      </c>
      <c r="F28" s="124"/>
      <c r="G28" s="63">
        <f t="shared" si="4"/>
        <v>0</v>
      </c>
      <c r="H28" s="63">
        <f t="shared" si="5"/>
        <v>0</v>
      </c>
      <c r="I28" s="63">
        <f t="shared" si="8"/>
        <v>55685.976250000007</v>
      </c>
      <c r="J28" s="63">
        <f t="shared" si="1"/>
        <v>-64392.249600000003</v>
      </c>
      <c r="K28" s="63">
        <f t="shared" si="2"/>
        <v>-136480.60649999999</v>
      </c>
      <c r="L28" s="63">
        <f t="shared" si="6"/>
        <v>-11694.055012500001</v>
      </c>
      <c r="M28" s="63">
        <f t="shared" si="9"/>
        <v>43991.921237500006</v>
      </c>
      <c r="N28" s="65">
        <f t="shared" si="7"/>
        <v>513427.04350000003</v>
      </c>
      <c r="O28" s="145">
        <f t="shared" si="10"/>
        <v>0.21</v>
      </c>
    </row>
    <row r="29" spans="1:15" x14ac:dyDescent="0.2">
      <c r="A29" s="61">
        <v>44681</v>
      </c>
      <c r="B29" s="61"/>
      <c r="C29" s="62">
        <v>603434.99</v>
      </c>
      <c r="D29" s="63">
        <f t="shared" si="3"/>
        <v>1253342.6400000001</v>
      </c>
      <c r="E29" s="63">
        <f t="shared" si="0"/>
        <v>134988.07166666668</v>
      </c>
      <c r="F29" s="124"/>
      <c r="G29" s="63">
        <f t="shared" si="4"/>
        <v>0</v>
      </c>
      <c r="H29" s="63">
        <f t="shared" si="5"/>
        <v>0</v>
      </c>
      <c r="I29" s="63">
        <f t="shared" si="8"/>
        <v>134988.07166666668</v>
      </c>
      <c r="J29" s="63">
        <f t="shared" si="1"/>
        <v>-126721.34789999999</v>
      </c>
      <c r="K29" s="63">
        <f t="shared" si="2"/>
        <v>-263201.95439999999</v>
      </c>
      <c r="L29" s="63">
        <f t="shared" si="6"/>
        <v>-28347.495049999998</v>
      </c>
      <c r="M29" s="63">
        <f t="shared" si="9"/>
        <v>106640.57661666669</v>
      </c>
      <c r="N29" s="65">
        <f t="shared" si="7"/>
        <v>990140.6856000002</v>
      </c>
      <c r="O29" s="145">
        <f t="shared" si="10"/>
        <v>0.20999999999999996</v>
      </c>
    </row>
    <row r="30" spans="1:15" x14ac:dyDescent="0.2">
      <c r="A30" s="61">
        <v>44712</v>
      </c>
      <c r="B30" s="61"/>
      <c r="C30" s="62">
        <v>404337</v>
      </c>
      <c r="D30" s="63">
        <f t="shared" si="3"/>
        <v>1657679.6400000001</v>
      </c>
      <c r="E30" s="63">
        <f t="shared" si="0"/>
        <v>256280.66666666666</v>
      </c>
      <c r="F30" s="124"/>
      <c r="G30" s="63">
        <f t="shared" si="4"/>
        <v>0</v>
      </c>
      <c r="H30" s="63">
        <f t="shared" si="5"/>
        <v>0</v>
      </c>
      <c r="I30" s="63">
        <f t="shared" si="8"/>
        <v>256280.66666666666</v>
      </c>
      <c r="J30" s="63">
        <f t="shared" si="1"/>
        <v>-84910.77</v>
      </c>
      <c r="K30" s="63">
        <f t="shared" si="2"/>
        <v>-348112.72440000001</v>
      </c>
      <c r="L30" s="63">
        <f t="shared" si="6"/>
        <v>-53818.94</v>
      </c>
      <c r="M30" s="63">
        <f t="shared" si="9"/>
        <v>202461.72666666665</v>
      </c>
      <c r="N30" s="65">
        <f t="shared" si="7"/>
        <v>1309566.9156000002</v>
      </c>
      <c r="O30" s="145">
        <f t="shared" si="10"/>
        <v>0.21</v>
      </c>
    </row>
    <row r="31" spans="1:15" x14ac:dyDescent="0.2">
      <c r="A31" s="61">
        <v>44742</v>
      </c>
      <c r="B31" s="61"/>
      <c r="C31" s="62">
        <v>376752.99</v>
      </c>
      <c r="D31" s="63">
        <f t="shared" si="3"/>
        <v>2034432.6300000001</v>
      </c>
      <c r="E31" s="63">
        <f t="shared" si="0"/>
        <v>410118.67791666673</v>
      </c>
      <c r="F31" s="124"/>
      <c r="G31" s="63">
        <f t="shared" si="4"/>
        <v>0</v>
      </c>
      <c r="H31" s="63">
        <f t="shared" si="5"/>
        <v>0</v>
      </c>
      <c r="I31" s="63">
        <f t="shared" si="8"/>
        <v>410118.67791666673</v>
      </c>
      <c r="J31" s="63">
        <f t="shared" si="1"/>
        <v>-79118.127899999992</v>
      </c>
      <c r="K31" s="63">
        <f t="shared" si="2"/>
        <v>-427230.85230000003</v>
      </c>
      <c r="L31" s="63">
        <f t="shared" si="6"/>
        <v>-86124.922362500001</v>
      </c>
      <c r="M31" s="63">
        <f t="shared" si="9"/>
        <v>323993.75555416674</v>
      </c>
      <c r="N31" s="65">
        <f t="shared" si="7"/>
        <v>1607201.7777</v>
      </c>
      <c r="O31" s="145">
        <f t="shared" si="10"/>
        <v>0.21</v>
      </c>
    </row>
    <row r="32" spans="1:15" x14ac:dyDescent="0.2">
      <c r="A32" s="61">
        <v>44773</v>
      </c>
      <c r="C32" s="62">
        <v>355362.34</v>
      </c>
      <c r="D32" s="63">
        <f t="shared" si="3"/>
        <v>2389794.9700000002</v>
      </c>
      <c r="E32" s="63">
        <f t="shared" si="0"/>
        <v>594461.49458333338</v>
      </c>
      <c r="F32" s="124"/>
      <c r="G32" s="63">
        <f t="shared" si="4"/>
        <v>0</v>
      </c>
      <c r="H32" s="63">
        <f t="shared" si="5"/>
        <v>0</v>
      </c>
      <c r="I32" s="63">
        <f t="shared" si="8"/>
        <v>594461.49458333338</v>
      </c>
      <c r="J32" s="63">
        <f t="shared" si="1"/>
        <v>-74626.091400000005</v>
      </c>
      <c r="K32" s="63">
        <f t="shared" si="2"/>
        <v>-501856.94370000006</v>
      </c>
      <c r="L32" s="63">
        <f t="shared" si="6"/>
        <v>-124836.91386250001</v>
      </c>
      <c r="M32" s="63">
        <f t="shared" si="9"/>
        <v>469624.58072083339</v>
      </c>
      <c r="N32" s="65">
        <f t="shared" si="7"/>
        <v>1887938.0263</v>
      </c>
      <c r="O32" s="145">
        <f t="shared" si="10"/>
        <v>0.21000000000000002</v>
      </c>
    </row>
    <row r="33" spans="1:15" x14ac:dyDescent="0.2">
      <c r="A33" s="61">
        <v>44804</v>
      </c>
      <c r="C33" s="62">
        <v>353470.22</v>
      </c>
      <c r="D33" s="63">
        <f t="shared" si="3"/>
        <v>2743265.1900000004</v>
      </c>
      <c r="E33" s="63">
        <f t="shared" si="0"/>
        <v>808339.00125000009</v>
      </c>
      <c r="F33" s="124"/>
      <c r="G33" s="63">
        <f t="shared" si="4"/>
        <v>0</v>
      </c>
      <c r="H33" s="63">
        <f t="shared" si="5"/>
        <v>0</v>
      </c>
      <c r="I33" s="63">
        <f t="shared" si="8"/>
        <v>808339.00125000009</v>
      </c>
      <c r="J33" s="63">
        <f t="shared" si="1"/>
        <v>-74228.746199999994</v>
      </c>
      <c r="K33" s="63">
        <f t="shared" si="2"/>
        <v>-576085.68990000011</v>
      </c>
      <c r="L33" s="63">
        <f t="shared" si="6"/>
        <v>-169751.19026250002</v>
      </c>
      <c r="M33" s="63">
        <f t="shared" si="9"/>
        <v>638587.81098750001</v>
      </c>
      <c r="N33" s="65">
        <f t="shared" si="7"/>
        <v>2167179.5001000003</v>
      </c>
      <c r="O33" s="145">
        <f t="shared" si="10"/>
        <v>0.21000000000000002</v>
      </c>
    </row>
    <row r="34" spans="1:15" x14ac:dyDescent="0.2">
      <c r="A34" s="61">
        <v>44834</v>
      </c>
      <c r="C34" s="62">
        <v>334818.90999999997</v>
      </c>
      <c r="D34" s="63">
        <f t="shared" si="3"/>
        <v>3078084.1000000006</v>
      </c>
      <c r="E34" s="63">
        <f t="shared" si="0"/>
        <v>1050895.2216666667</v>
      </c>
      <c r="F34" s="124"/>
      <c r="G34" s="63">
        <f t="shared" si="4"/>
        <v>0</v>
      </c>
      <c r="H34" s="63">
        <f t="shared" si="5"/>
        <v>0</v>
      </c>
      <c r="I34" s="63">
        <f t="shared" si="8"/>
        <v>1050895.2216666667</v>
      </c>
      <c r="J34" s="63">
        <f t="shared" si="1"/>
        <v>-70311.971099999995</v>
      </c>
      <c r="K34" s="63">
        <f t="shared" si="2"/>
        <v>-646397.66100000008</v>
      </c>
      <c r="L34" s="63">
        <f t="shared" si="6"/>
        <v>-220687.99655000004</v>
      </c>
      <c r="M34" s="63">
        <f t="shared" si="9"/>
        <v>830207.22511666664</v>
      </c>
      <c r="N34" s="65">
        <f t="shared" si="7"/>
        <v>2431686.4390000002</v>
      </c>
      <c r="O34" s="145">
        <f t="shared" si="10"/>
        <v>0.21</v>
      </c>
    </row>
    <row r="35" spans="1:15" x14ac:dyDescent="0.2">
      <c r="A35" s="61">
        <v>44865</v>
      </c>
      <c r="C35" s="62">
        <v>374212.85</v>
      </c>
      <c r="D35" s="63">
        <f t="shared" si="3"/>
        <v>3452296.9500000007</v>
      </c>
      <c r="E35" s="63">
        <f t="shared" si="0"/>
        <v>1322994.4320833334</v>
      </c>
      <c r="F35" s="124"/>
      <c r="G35" s="63">
        <f t="shared" si="4"/>
        <v>0</v>
      </c>
      <c r="H35" s="63">
        <f t="shared" si="5"/>
        <v>0</v>
      </c>
      <c r="I35" s="63">
        <f t="shared" si="8"/>
        <v>1322994.4320833334</v>
      </c>
      <c r="J35" s="63">
        <f t="shared" si="1"/>
        <v>-78584.698499999999</v>
      </c>
      <c r="K35" s="63">
        <f t="shared" si="2"/>
        <v>-724982.35950000002</v>
      </c>
      <c r="L35" s="63">
        <f t="shared" si="6"/>
        <v>-277828.83073750004</v>
      </c>
      <c r="M35" s="63">
        <f t="shared" si="9"/>
        <v>1045165.6013458334</v>
      </c>
      <c r="N35" s="65">
        <f t="shared" si="7"/>
        <v>2727314.5905000009</v>
      </c>
      <c r="O35" s="145">
        <f t="shared" si="10"/>
        <v>0.20999999999999996</v>
      </c>
    </row>
    <row r="36" spans="1:15" x14ac:dyDescent="0.2">
      <c r="A36" s="61">
        <v>44895</v>
      </c>
      <c r="C36" s="62">
        <v>596097.85</v>
      </c>
      <c r="D36" s="63">
        <f t="shared" si="3"/>
        <v>4048394.8000000007</v>
      </c>
      <c r="E36" s="63">
        <f t="shared" si="0"/>
        <v>1635523.2550000001</v>
      </c>
      <c r="F36" s="124"/>
      <c r="G36" s="63">
        <f t="shared" si="4"/>
        <v>0</v>
      </c>
      <c r="H36" s="63">
        <f t="shared" si="5"/>
        <v>0</v>
      </c>
      <c r="I36" s="63">
        <f t="shared" si="8"/>
        <v>1635523.2550000001</v>
      </c>
      <c r="J36" s="63">
        <f t="shared" si="1"/>
        <v>-125180.54849999999</v>
      </c>
      <c r="K36" s="63">
        <f t="shared" si="2"/>
        <v>-850162.90800000005</v>
      </c>
      <c r="L36" s="63">
        <f t="shared" si="6"/>
        <v>-343459.88355000009</v>
      </c>
      <c r="M36" s="63">
        <f t="shared" si="9"/>
        <v>1292063.37145</v>
      </c>
      <c r="N36" s="65">
        <f t="shared" si="7"/>
        <v>3198231.8920000009</v>
      </c>
      <c r="O36" s="145">
        <f t="shared" si="10"/>
        <v>0.20999999999999996</v>
      </c>
    </row>
    <row r="37" spans="1:15" x14ac:dyDescent="0.2">
      <c r="A37" s="61">
        <v>44926</v>
      </c>
      <c r="C37" s="62">
        <v>526798.9</v>
      </c>
      <c r="D37" s="63">
        <f t="shared" si="3"/>
        <v>4575193.7000000011</v>
      </c>
      <c r="E37" s="63">
        <f t="shared" si="0"/>
        <v>1994839.4425000001</v>
      </c>
      <c r="F37" s="124"/>
      <c r="G37" s="63">
        <f t="shared" si="4"/>
        <v>0</v>
      </c>
      <c r="H37" s="63">
        <f t="shared" si="5"/>
        <v>0</v>
      </c>
      <c r="I37" s="63">
        <f t="shared" si="8"/>
        <v>1994839.4425000001</v>
      </c>
      <c r="J37" s="63">
        <f t="shared" si="1"/>
        <v>-110627.769</v>
      </c>
      <c r="K37" s="63">
        <f t="shared" si="2"/>
        <v>-960790.67700000003</v>
      </c>
      <c r="L37" s="63">
        <f t="shared" ref="L37:L95" si="11">(K25+K37+SUM(K26:K36)*2)/24</f>
        <v>-418916.28292500001</v>
      </c>
      <c r="M37" s="63">
        <f t="shared" ref="M37:M95" si="12">L37+I37</f>
        <v>1575923.1595750002</v>
      </c>
      <c r="N37" s="64">
        <f t="shared" ref="N37:N95" si="13">+D37+G37+K37</f>
        <v>3614403.023000001</v>
      </c>
      <c r="O37" s="145">
        <f t="shared" si="10"/>
        <v>0.20999999999999996</v>
      </c>
    </row>
    <row r="38" spans="1:15" x14ac:dyDescent="0.2">
      <c r="A38" s="61">
        <v>44957</v>
      </c>
      <c r="B38" s="61"/>
      <c r="C38" s="62">
        <v>366507.41</v>
      </c>
      <c r="D38" s="63">
        <f t="shared" si="3"/>
        <v>4941701.1100000013</v>
      </c>
      <c r="E38" s="63">
        <f>(D26+D38+SUM(D27:D37)*2)/24</f>
        <v>2391376.7262500003</v>
      </c>
      <c r="F38" s="124"/>
      <c r="G38" s="63">
        <f t="shared" ref="G38:G95" si="14">G37-F38</f>
        <v>0</v>
      </c>
      <c r="H38" s="63">
        <f t="shared" ref="H38:H95" si="15">(G26+G38+SUM(G27:G37)*2)/24</f>
        <v>0</v>
      </c>
      <c r="I38" s="63">
        <f t="shared" ref="I38:I95" si="16">E38+H38</f>
        <v>2391376.7262500003</v>
      </c>
      <c r="J38" s="63">
        <f t="shared" si="1"/>
        <v>-76966.556099999987</v>
      </c>
      <c r="K38" s="68">
        <f t="shared" si="2"/>
        <v>-1037757.2331000001</v>
      </c>
      <c r="L38" s="63">
        <f t="shared" si="11"/>
        <v>-502189.11251250008</v>
      </c>
      <c r="M38" s="69">
        <f t="shared" si="12"/>
        <v>1889187.6137375003</v>
      </c>
      <c r="N38" s="64">
        <f t="shared" si="13"/>
        <v>3903943.8769000014</v>
      </c>
      <c r="O38" s="145">
        <f t="shared" si="10"/>
        <v>0.20999999999999996</v>
      </c>
    </row>
    <row r="39" spans="1:15" x14ac:dyDescent="0.2">
      <c r="A39" s="61">
        <v>44985</v>
      </c>
      <c r="B39" s="61"/>
      <c r="C39" s="62">
        <v>372998.81</v>
      </c>
      <c r="D39" s="63">
        <f t="shared" si="3"/>
        <v>5314699.9200000009</v>
      </c>
      <c r="E39" s="63">
        <f t="shared" si="0"/>
        <v>2804423.5237500002</v>
      </c>
      <c r="F39" s="124"/>
      <c r="G39" s="63">
        <f t="shared" si="14"/>
        <v>0</v>
      </c>
      <c r="H39" s="63">
        <f t="shared" si="15"/>
        <v>0</v>
      </c>
      <c r="I39" s="63">
        <f t="shared" si="16"/>
        <v>2804423.5237500002</v>
      </c>
      <c r="J39" s="63">
        <f t="shared" si="1"/>
        <v>-78329.75009999999</v>
      </c>
      <c r="K39" s="68">
        <f t="shared" si="2"/>
        <v>-1116086.9832000001</v>
      </c>
      <c r="L39" s="63">
        <f t="shared" si="11"/>
        <v>-588928.93998750008</v>
      </c>
      <c r="M39" s="69">
        <f t="shared" si="12"/>
        <v>2215494.5837625</v>
      </c>
      <c r="N39" s="64">
        <f t="shared" si="13"/>
        <v>4198612.9368000012</v>
      </c>
      <c r="O39" s="145">
        <f t="shared" si="10"/>
        <v>0.21</v>
      </c>
    </row>
    <row r="40" spans="1:15" x14ac:dyDescent="0.2">
      <c r="A40" s="61">
        <v>45016</v>
      </c>
      <c r="B40" s="61"/>
      <c r="C40" s="62">
        <v>474539.27</v>
      </c>
      <c r="D40" s="63">
        <f t="shared" si="3"/>
        <v>5789239.1900000013</v>
      </c>
      <c r="E40" s="63">
        <f t="shared" si="0"/>
        <v>3225704.9225000008</v>
      </c>
      <c r="F40" s="124"/>
      <c r="G40" s="63">
        <f t="shared" si="14"/>
        <v>0</v>
      </c>
      <c r="H40" s="63">
        <f t="shared" si="15"/>
        <v>0</v>
      </c>
      <c r="I40" s="63">
        <f t="shared" si="16"/>
        <v>3225704.9225000008</v>
      </c>
      <c r="J40" s="63">
        <f t="shared" si="1"/>
        <v>-99653.246700000003</v>
      </c>
      <c r="K40" s="68">
        <f t="shared" si="2"/>
        <v>-1215740.2299000002</v>
      </c>
      <c r="L40" s="63">
        <f t="shared" si="11"/>
        <v>-677398.0337250001</v>
      </c>
      <c r="M40" s="69">
        <f t="shared" si="12"/>
        <v>2548306.8887750008</v>
      </c>
      <c r="N40" s="64">
        <f t="shared" si="13"/>
        <v>4573498.9601000007</v>
      </c>
      <c r="O40" s="145">
        <f t="shared" si="10"/>
        <v>0.20999999999999996</v>
      </c>
    </row>
    <row r="41" spans="1:15" x14ac:dyDescent="0.2">
      <c r="A41" s="61">
        <v>45046</v>
      </c>
      <c r="B41" s="61"/>
      <c r="C41" s="62">
        <f>'O&amp;M'!B24</f>
        <v>508765.00945010001</v>
      </c>
      <c r="D41" s="63">
        <f t="shared" si="3"/>
        <v>6298004.1994501017</v>
      </c>
      <c r="E41" s="63">
        <f t="shared" si="0"/>
        <v>3650037.9683104213</v>
      </c>
      <c r="F41" s="124"/>
      <c r="G41" s="63">
        <f t="shared" si="14"/>
        <v>0</v>
      </c>
      <c r="H41" s="63">
        <f t="shared" si="15"/>
        <v>0</v>
      </c>
      <c r="I41" s="63">
        <f t="shared" si="16"/>
        <v>3650037.9683104213</v>
      </c>
      <c r="J41" s="63">
        <f t="shared" si="1"/>
        <v>-106840.651984521</v>
      </c>
      <c r="K41" s="68">
        <f t="shared" si="2"/>
        <v>-1322580.8818845211</v>
      </c>
      <c r="L41" s="63">
        <f t="shared" si="11"/>
        <v>-766507.97334518854</v>
      </c>
      <c r="M41" s="69">
        <f t="shared" si="12"/>
        <v>2883529.9949652329</v>
      </c>
      <c r="N41" s="64">
        <f t="shared" si="13"/>
        <v>4975423.3175655808</v>
      </c>
      <c r="O41" s="145">
        <f t="shared" si="10"/>
        <v>0.20999999999999996</v>
      </c>
    </row>
    <row r="42" spans="1:15" x14ac:dyDescent="0.2">
      <c r="A42" s="61">
        <v>45077</v>
      </c>
      <c r="B42" s="61"/>
      <c r="C42" s="62">
        <f>'O&amp;M'!C24</f>
        <v>501022.18247479998</v>
      </c>
      <c r="D42" s="63">
        <f t="shared" si="3"/>
        <v>6799026.3819249021</v>
      </c>
      <c r="E42" s="63">
        <f t="shared" si="0"/>
        <v>4074454.9808677132</v>
      </c>
      <c r="F42" s="124"/>
      <c r="G42" s="63">
        <f t="shared" si="14"/>
        <v>0</v>
      </c>
      <c r="H42" s="63">
        <f t="shared" si="15"/>
        <v>0</v>
      </c>
      <c r="I42" s="63">
        <f t="shared" si="16"/>
        <v>4074454.9808677132</v>
      </c>
      <c r="J42" s="63">
        <f t="shared" si="1"/>
        <v>-105214.65831970799</v>
      </c>
      <c r="K42" s="68">
        <f t="shared" si="2"/>
        <v>-1427795.5402042291</v>
      </c>
      <c r="L42" s="63">
        <f t="shared" si="11"/>
        <v>-855635.54598221974</v>
      </c>
      <c r="M42" s="69">
        <f t="shared" si="12"/>
        <v>3218819.4348854935</v>
      </c>
      <c r="N42" s="64">
        <f t="shared" si="13"/>
        <v>5371230.8417206733</v>
      </c>
      <c r="O42" s="145">
        <f t="shared" si="10"/>
        <v>0.20999999999999994</v>
      </c>
    </row>
    <row r="43" spans="1:15" x14ac:dyDescent="0.2">
      <c r="A43" s="61">
        <v>45107</v>
      </c>
      <c r="B43" s="61"/>
      <c r="C43" s="62">
        <f>'O&amp;M'!D24</f>
        <v>477335.35295129998</v>
      </c>
      <c r="D43" s="63">
        <f t="shared" si="3"/>
        <v>7276361.7348762024</v>
      </c>
      <c r="E43" s="63">
        <f t="shared" si="0"/>
        <v>4507091.474484426</v>
      </c>
      <c r="F43" s="124"/>
      <c r="G43" s="63">
        <f t="shared" si="14"/>
        <v>0</v>
      </c>
      <c r="H43" s="63">
        <f t="shared" si="15"/>
        <v>0</v>
      </c>
      <c r="I43" s="63">
        <f t="shared" si="16"/>
        <v>4507091.474484426</v>
      </c>
      <c r="J43" s="63">
        <f t="shared" si="1"/>
        <v>-100240.42411977299</v>
      </c>
      <c r="K43" s="68">
        <f t="shared" si="2"/>
        <v>-1528035.9643240022</v>
      </c>
      <c r="L43" s="63">
        <f t="shared" si="11"/>
        <v>-946489.20964172937</v>
      </c>
      <c r="M43" s="69">
        <f t="shared" si="12"/>
        <v>3560602.2648426965</v>
      </c>
      <c r="N43" s="64">
        <f t="shared" si="13"/>
        <v>5748325.7705522003</v>
      </c>
      <c r="O43" s="145">
        <f t="shared" si="10"/>
        <v>0.20999999999999996</v>
      </c>
    </row>
    <row r="44" spans="1:15" x14ac:dyDescent="0.2">
      <c r="A44" s="61">
        <v>45138</v>
      </c>
      <c r="B44" s="61"/>
      <c r="C44" s="62">
        <f>'O&amp;M'!E24</f>
        <v>369609.2918378</v>
      </c>
      <c r="D44" s="63">
        <f t="shared" si="3"/>
        <v>7645971.0267140027</v>
      </c>
      <c r="E44" s="63">
        <f t="shared" si="0"/>
        <v>4944512.5228840187</v>
      </c>
      <c r="F44" s="124"/>
      <c r="G44" s="63">
        <f t="shared" si="14"/>
        <v>0</v>
      </c>
      <c r="H44" s="63">
        <f t="shared" si="15"/>
        <v>0</v>
      </c>
      <c r="I44" s="63">
        <f t="shared" si="16"/>
        <v>4944512.5228840187</v>
      </c>
      <c r="J44" s="63">
        <f t="shared" si="1"/>
        <v>-77617.951285938005</v>
      </c>
      <c r="K44" s="68">
        <f t="shared" si="2"/>
        <v>-1605653.9156099402</v>
      </c>
      <c r="L44" s="63">
        <f t="shared" si="11"/>
        <v>-1038347.6298056437</v>
      </c>
      <c r="M44" s="69">
        <f t="shared" si="12"/>
        <v>3906164.8930783751</v>
      </c>
      <c r="N44" s="64">
        <f t="shared" si="13"/>
        <v>6040317.1111040628</v>
      </c>
      <c r="O44" s="145">
        <f t="shared" si="10"/>
        <v>0.20999999999999994</v>
      </c>
    </row>
    <row r="45" spans="1:15" x14ac:dyDescent="0.2">
      <c r="A45" s="61">
        <v>45169</v>
      </c>
      <c r="B45" s="61"/>
      <c r="C45" s="62">
        <f>'O&amp;M'!F24</f>
        <v>375609.2918378</v>
      </c>
      <c r="D45" s="63">
        <f t="shared" si="3"/>
        <v>8021580.318551803</v>
      </c>
      <c r="E45" s="63">
        <f t="shared" si="0"/>
        <v>5383449.6556034265</v>
      </c>
      <c r="F45" s="124"/>
      <c r="G45" s="63">
        <f t="shared" si="14"/>
        <v>0</v>
      </c>
      <c r="H45" s="63">
        <f t="shared" si="15"/>
        <v>0</v>
      </c>
      <c r="I45" s="63">
        <f t="shared" si="16"/>
        <v>5383449.6556034265</v>
      </c>
      <c r="J45" s="63">
        <f t="shared" si="1"/>
        <v>-78877.951285938005</v>
      </c>
      <c r="K45" s="68">
        <f t="shared" si="2"/>
        <v>-1684531.8668958782</v>
      </c>
      <c r="L45" s="63">
        <f t="shared" si="11"/>
        <v>-1130524.4276767196</v>
      </c>
      <c r="M45" s="69">
        <f t="shared" si="12"/>
        <v>4252925.2279267069</v>
      </c>
      <c r="N45" s="64">
        <f t="shared" si="13"/>
        <v>6337048.4516559243</v>
      </c>
      <c r="O45" s="145">
        <f t="shared" si="10"/>
        <v>0.20999999999999994</v>
      </c>
    </row>
    <row r="46" spans="1:15" x14ac:dyDescent="0.2">
      <c r="A46" s="61">
        <v>45199</v>
      </c>
      <c r="B46" s="61"/>
      <c r="C46" s="62">
        <f>'O&amp;M'!G24</f>
        <v>369313.38796580001</v>
      </c>
      <c r="D46" s="63">
        <f t="shared" si="3"/>
        <v>8390893.7065176032</v>
      </c>
      <c r="E46" s="63">
        <f t="shared" si="0"/>
        <v>5824746.5195646519</v>
      </c>
      <c r="F46" s="124"/>
      <c r="G46" s="63">
        <f t="shared" si="14"/>
        <v>0</v>
      </c>
      <c r="H46" s="63">
        <f t="shared" si="15"/>
        <v>0</v>
      </c>
      <c r="I46" s="63">
        <f t="shared" si="16"/>
        <v>5824746.5195646519</v>
      </c>
      <c r="J46" s="63">
        <f t="shared" si="1"/>
        <v>-77555.811472817993</v>
      </c>
      <c r="K46" s="68">
        <f t="shared" si="2"/>
        <v>-1762087.6783686962</v>
      </c>
      <c r="L46" s="63">
        <f t="shared" si="11"/>
        <v>-1223196.7691085767</v>
      </c>
      <c r="M46" s="69">
        <f t="shared" si="12"/>
        <v>4601549.7504560752</v>
      </c>
      <c r="N46" s="64">
        <f t="shared" si="13"/>
        <v>6628806.0281489072</v>
      </c>
      <c r="O46" s="145">
        <f t="shared" si="10"/>
        <v>0.20999999999999994</v>
      </c>
    </row>
    <row r="47" spans="1:15" ht="13.5" thickBot="1" x14ac:dyDescent="0.25">
      <c r="A47" s="61">
        <v>45230</v>
      </c>
      <c r="B47" s="61"/>
      <c r="C47" s="62">
        <f>'O&amp;M'!H24</f>
        <v>488199.94235060003</v>
      </c>
      <c r="D47" s="63">
        <f t="shared" si="3"/>
        <v>8879093.6488682032</v>
      </c>
      <c r="E47" s="63">
        <f t="shared" si="0"/>
        <v>6272230.1156223929</v>
      </c>
      <c r="F47" s="124"/>
      <c r="G47" s="63">
        <f t="shared" si="14"/>
        <v>0</v>
      </c>
      <c r="H47" s="63">
        <f t="shared" si="15"/>
        <v>0</v>
      </c>
      <c r="I47" s="63">
        <f t="shared" si="16"/>
        <v>6272230.1156223929</v>
      </c>
      <c r="J47" s="63">
        <f t="shared" si="1"/>
        <v>-102521.98789362601</v>
      </c>
      <c r="K47" s="68">
        <f t="shared" si="2"/>
        <v>-1864609.6662623223</v>
      </c>
      <c r="L47" s="63">
        <f t="shared" si="11"/>
        <v>-1317168.3242807025</v>
      </c>
      <c r="M47" s="69">
        <f t="shared" si="12"/>
        <v>4955061.7913416903</v>
      </c>
      <c r="N47" s="64">
        <f t="shared" si="13"/>
        <v>7014483.9826058811</v>
      </c>
      <c r="O47" s="145">
        <f t="shared" si="10"/>
        <v>0.20999999999999996</v>
      </c>
    </row>
    <row r="48" spans="1:15" x14ac:dyDescent="0.2">
      <c r="A48" s="134">
        <v>45260</v>
      </c>
      <c r="B48" s="134" t="s">
        <v>144</v>
      </c>
      <c r="C48" s="135"/>
      <c r="D48" s="136">
        <f t="shared" si="3"/>
        <v>8879093.6488682032</v>
      </c>
      <c r="E48" s="136">
        <f>(D36+D48+SUM(D37:D47)*2)/24</f>
        <v>6699625.7634447441</v>
      </c>
      <c r="F48" s="137">
        <f t="shared" ref="F48:F95" si="17">D48/48</f>
        <v>184981.11768475422</v>
      </c>
      <c r="G48" s="136">
        <f t="shared" si="14"/>
        <v>-184981.11768475422</v>
      </c>
      <c r="H48" s="136">
        <f t="shared" si="15"/>
        <v>-7707.5465701980929</v>
      </c>
      <c r="I48" s="136">
        <f t="shared" si="16"/>
        <v>6691918.2168745464</v>
      </c>
      <c r="J48" s="136">
        <f t="shared" si="1"/>
        <v>38846.034713798384</v>
      </c>
      <c r="K48" s="138">
        <f t="shared" si="2"/>
        <v>-1825763.6315485239</v>
      </c>
      <c r="L48" s="136">
        <f t="shared" si="11"/>
        <v>-1405302.8255436544</v>
      </c>
      <c r="M48" s="139">
        <f t="shared" si="12"/>
        <v>5286615.3913308922</v>
      </c>
      <c r="N48" s="140">
        <f t="shared" si="13"/>
        <v>6868348.8996349256</v>
      </c>
      <c r="O48" s="145">
        <f t="shared" si="10"/>
        <v>0.20999999999999994</v>
      </c>
    </row>
    <row r="49" spans="1:15" x14ac:dyDescent="0.2">
      <c r="A49" s="61">
        <v>45291</v>
      </c>
      <c r="B49" s="61" t="s">
        <v>144</v>
      </c>
      <c r="C49" s="63"/>
      <c r="D49" s="63">
        <f t="shared" si="3"/>
        <v>8879093.6488682032</v>
      </c>
      <c r="E49" s="63">
        <f t="shared" si="0"/>
        <v>7080234.0466837594</v>
      </c>
      <c r="F49" s="124">
        <f t="shared" si="17"/>
        <v>184981.11768475422</v>
      </c>
      <c r="G49" s="63">
        <f t="shared" si="14"/>
        <v>-369962.23536950845</v>
      </c>
      <c r="H49" s="63">
        <f t="shared" si="15"/>
        <v>-30830.186280792372</v>
      </c>
      <c r="I49" s="63">
        <f t="shared" si="16"/>
        <v>7049403.8604029668</v>
      </c>
      <c r="J49" s="63">
        <f t="shared" si="1"/>
        <v>38846.034713798384</v>
      </c>
      <c r="K49" s="68">
        <f t="shared" si="2"/>
        <v>-1786917.5968347255</v>
      </c>
      <c r="L49" s="63">
        <f t="shared" si="11"/>
        <v>-1480374.8106846232</v>
      </c>
      <c r="M49" s="69">
        <f t="shared" si="12"/>
        <v>5569029.0497183437</v>
      </c>
      <c r="N49" s="64">
        <f t="shared" si="13"/>
        <v>6722213.8166639684</v>
      </c>
      <c r="O49" s="145">
        <f t="shared" si="10"/>
        <v>0.20999999999999996</v>
      </c>
    </row>
    <row r="50" spans="1:15" x14ac:dyDescent="0.2">
      <c r="A50" s="61">
        <v>45322</v>
      </c>
      <c r="B50" s="61" t="s">
        <v>144</v>
      </c>
      <c r="C50" s="63"/>
      <c r="D50" s="63">
        <f t="shared" si="3"/>
        <v>8879093.6488682032</v>
      </c>
      <c r="E50" s="63">
        <f t="shared" si="0"/>
        <v>7423621.2336727781</v>
      </c>
      <c r="F50" s="124">
        <f t="shared" si="17"/>
        <v>184981.11768475422</v>
      </c>
      <c r="G50" s="63">
        <f t="shared" si="14"/>
        <v>-554943.3530542627</v>
      </c>
      <c r="H50" s="63">
        <f t="shared" si="15"/>
        <v>-69367.919131782837</v>
      </c>
      <c r="I50" s="63">
        <f t="shared" si="16"/>
        <v>7354253.3145409953</v>
      </c>
      <c r="J50" s="63">
        <f t="shared" si="1"/>
        <v>38846.034713798384</v>
      </c>
      <c r="K50" s="68">
        <f t="shared" si="2"/>
        <v>-1748071.562120927</v>
      </c>
      <c r="L50" s="63">
        <f t="shared" si="11"/>
        <v>-1544393.1960536086</v>
      </c>
      <c r="M50" s="69">
        <f t="shared" si="12"/>
        <v>5809860.118487387</v>
      </c>
      <c r="N50" s="64">
        <f t="shared" si="13"/>
        <v>6576078.733693013</v>
      </c>
      <c r="O50" s="145">
        <f t="shared" si="10"/>
        <v>0.20999999999999994</v>
      </c>
    </row>
    <row r="51" spans="1:15" x14ac:dyDescent="0.2">
      <c r="A51" s="61">
        <v>45351</v>
      </c>
      <c r="B51" s="61" t="s">
        <v>144</v>
      </c>
      <c r="C51" s="63"/>
      <c r="D51" s="63">
        <f t="shared" si="3"/>
        <v>8879093.6488682032</v>
      </c>
      <c r="E51" s="63">
        <f t="shared" si="0"/>
        <v>7736195.6614951268</v>
      </c>
      <c r="F51" s="124">
        <f t="shared" si="17"/>
        <v>184981.11768475422</v>
      </c>
      <c r="G51" s="63">
        <f t="shared" si="14"/>
        <v>-739924.47073901689</v>
      </c>
      <c r="H51" s="63">
        <f t="shared" si="15"/>
        <v>-123320.74512316949</v>
      </c>
      <c r="I51" s="63">
        <f t="shared" si="16"/>
        <v>7612874.9163719574</v>
      </c>
      <c r="J51" s="63">
        <f t="shared" si="1"/>
        <v>38846.034713798384</v>
      </c>
      <c r="K51" s="68">
        <f t="shared" si="2"/>
        <v>-1709225.5274071286</v>
      </c>
      <c r="L51" s="63">
        <f t="shared" si="11"/>
        <v>-1598703.732438111</v>
      </c>
      <c r="M51" s="69">
        <f t="shared" si="12"/>
        <v>6014171.1839338467</v>
      </c>
      <c r="N51" s="64">
        <f t="shared" si="13"/>
        <v>6429943.6507220576</v>
      </c>
      <c r="O51" s="145">
        <f t="shared" si="10"/>
        <v>0.20999999999999994</v>
      </c>
    </row>
    <row r="52" spans="1:15" x14ac:dyDescent="0.2">
      <c r="A52" s="61">
        <v>45382</v>
      </c>
      <c r="B52" s="61" t="s">
        <v>144</v>
      </c>
      <c r="C52" s="63"/>
      <c r="D52" s="63">
        <f t="shared" si="3"/>
        <v>8879093.6488682032</v>
      </c>
      <c r="E52" s="63">
        <f t="shared" si="0"/>
        <v>8013456.0026508113</v>
      </c>
      <c r="F52" s="124">
        <f t="shared" si="17"/>
        <v>184981.11768475422</v>
      </c>
      <c r="G52" s="63">
        <f t="shared" si="14"/>
        <v>-924905.58842377109</v>
      </c>
      <c r="H52" s="63">
        <f t="shared" si="15"/>
        <v>-192688.66425495231</v>
      </c>
      <c r="I52" s="63">
        <f t="shared" si="16"/>
        <v>7820767.3383958591</v>
      </c>
      <c r="J52" s="63">
        <f t="shared" si="1"/>
        <v>38846.034713798384</v>
      </c>
      <c r="K52" s="68">
        <f t="shared" si="2"/>
        <v>-1670379.4926933302</v>
      </c>
      <c r="L52" s="63">
        <f t="shared" si="11"/>
        <v>-1642361.1410631302</v>
      </c>
      <c r="M52" s="69">
        <f t="shared" si="12"/>
        <v>6178406.1973327287</v>
      </c>
      <c r="N52" s="64">
        <f t="shared" si="13"/>
        <v>6283808.5677511021</v>
      </c>
      <c r="O52" s="145">
        <f t="shared" si="10"/>
        <v>0.20999999999999991</v>
      </c>
    </row>
    <row r="53" spans="1:15" x14ac:dyDescent="0.2">
      <c r="A53" s="61">
        <v>45412</v>
      </c>
      <c r="B53" s="61" t="s">
        <v>144</v>
      </c>
      <c r="C53" s="63"/>
      <c r="D53" s="63">
        <f t="shared" si="3"/>
        <v>8879093.6488682032</v>
      </c>
      <c r="E53" s="63">
        <f t="shared" si="0"/>
        <v>8249745.3321627406</v>
      </c>
      <c r="F53" s="124">
        <f t="shared" si="17"/>
        <v>184981.11768475422</v>
      </c>
      <c r="G53" s="63">
        <f t="shared" si="14"/>
        <v>-1109886.7061085254</v>
      </c>
      <c r="H53" s="63">
        <f t="shared" si="15"/>
        <v>-277471.67652713135</v>
      </c>
      <c r="I53" s="63">
        <f t="shared" si="16"/>
        <v>7972273.6556356093</v>
      </c>
      <c r="J53" s="63">
        <f t="shared" si="1"/>
        <v>38846.034713798384</v>
      </c>
      <c r="K53" s="68">
        <f t="shared" si="2"/>
        <v>-1631533.4579795317</v>
      </c>
      <c r="L53" s="63">
        <f t="shared" si="11"/>
        <v>-1674177.4676834776</v>
      </c>
      <c r="M53" s="69">
        <f t="shared" si="12"/>
        <v>6298096.187952132</v>
      </c>
      <c r="N53" s="64">
        <f t="shared" si="13"/>
        <v>6137673.4847801458</v>
      </c>
      <c r="O53" s="145">
        <f t="shared" si="10"/>
        <v>0.20999999999999991</v>
      </c>
    </row>
    <row r="54" spans="1:15" x14ac:dyDescent="0.2">
      <c r="A54" s="61">
        <v>45443</v>
      </c>
      <c r="B54" s="61" t="s">
        <v>144</v>
      </c>
      <c r="C54" s="63"/>
      <c r="D54" s="63">
        <f t="shared" si="3"/>
        <v>8879093.6488682032</v>
      </c>
      <c r="E54" s="63">
        <f t="shared" si="0"/>
        <v>8443960.1953444649</v>
      </c>
      <c r="F54" s="124">
        <f t="shared" si="17"/>
        <v>184981.11768475422</v>
      </c>
      <c r="G54" s="63">
        <f t="shared" si="14"/>
        <v>-1294867.8237932797</v>
      </c>
      <c r="H54" s="63">
        <f t="shared" si="15"/>
        <v>-377669.78193970653</v>
      </c>
      <c r="I54" s="63">
        <f t="shared" si="16"/>
        <v>8066290.4134047581</v>
      </c>
      <c r="J54" s="63">
        <f t="shared" si="1"/>
        <v>38846.034713798384</v>
      </c>
      <c r="K54" s="68">
        <f t="shared" si="2"/>
        <v>-1592687.4232657333</v>
      </c>
      <c r="L54" s="63">
        <f t="shared" si="11"/>
        <v>-1693920.9868149988</v>
      </c>
      <c r="M54" s="69">
        <f t="shared" si="12"/>
        <v>6372369.4265897591</v>
      </c>
      <c r="N54" s="64">
        <f t="shared" si="13"/>
        <v>5991538.4018091895</v>
      </c>
      <c r="O54" s="145">
        <f t="shared" si="10"/>
        <v>0.20999999999999991</v>
      </c>
    </row>
    <row r="55" spans="1:15" x14ac:dyDescent="0.2">
      <c r="A55" s="61">
        <v>45473</v>
      </c>
      <c r="B55" s="61" t="s">
        <v>144</v>
      </c>
      <c r="C55" s="63"/>
      <c r="D55" s="63">
        <f t="shared" si="3"/>
        <v>8879093.6488682032</v>
      </c>
      <c r="E55" s="63">
        <f t="shared" si="0"/>
        <v>8597410.1612167712</v>
      </c>
      <c r="F55" s="124">
        <f t="shared" si="17"/>
        <v>184981.11768475422</v>
      </c>
      <c r="G55" s="63">
        <f t="shared" si="14"/>
        <v>-1479848.941478034</v>
      </c>
      <c r="H55" s="63">
        <f t="shared" si="15"/>
        <v>-493282.98049267801</v>
      </c>
      <c r="I55" s="63">
        <f t="shared" si="16"/>
        <v>8104127.1807240937</v>
      </c>
      <c r="J55" s="63">
        <f t="shared" si="1"/>
        <v>38846.034713798384</v>
      </c>
      <c r="K55" s="68">
        <f t="shared" si="2"/>
        <v>-1553841.3885519349</v>
      </c>
      <c r="L55" s="63">
        <f t="shared" si="11"/>
        <v>-1701866.7079520586</v>
      </c>
      <c r="M55" s="69">
        <f t="shared" si="12"/>
        <v>6402260.4727720348</v>
      </c>
      <c r="N55" s="64">
        <f t="shared" si="13"/>
        <v>5845403.3188382341</v>
      </c>
      <c r="O55" s="145">
        <f t="shared" si="10"/>
        <v>0.20999999999999994</v>
      </c>
    </row>
    <row r="56" spans="1:15" x14ac:dyDescent="0.2">
      <c r="A56" s="61">
        <v>45504</v>
      </c>
      <c r="B56" s="61" t="s">
        <v>144</v>
      </c>
      <c r="C56" s="63"/>
      <c r="D56" s="63">
        <f t="shared" si="3"/>
        <v>8879093.6488682032</v>
      </c>
      <c r="E56" s="63">
        <f t="shared" si="0"/>
        <v>8715570.7668895293</v>
      </c>
      <c r="F56" s="124">
        <f t="shared" si="17"/>
        <v>184981.11768475422</v>
      </c>
      <c r="G56" s="63">
        <f t="shared" si="14"/>
        <v>-1664830.0591627883</v>
      </c>
      <c r="H56" s="63">
        <f t="shared" si="15"/>
        <v>-624311.27218604553</v>
      </c>
      <c r="I56" s="63">
        <f t="shared" si="16"/>
        <v>8091259.4947034838</v>
      </c>
      <c r="J56" s="63">
        <f t="shared" si="1"/>
        <v>38846.034713798384</v>
      </c>
      <c r="K56" s="68">
        <f t="shared" si="2"/>
        <v>-1514995.3538381364</v>
      </c>
      <c r="L56" s="63">
        <f t="shared" si="11"/>
        <v>-1699164.4938877311</v>
      </c>
      <c r="M56" s="69">
        <f t="shared" si="12"/>
        <v>6392095.0008157529</v>
      </c>
      <c r="N56" s="64">
        <f t="shared" si="13"/>
        <v>5699268.2358672787</v>
      </c>
      <c r="O56" s="145">
        <f t="shared" si="10"/>
        <v>0.20999999999999991</v>
      </c>
    </row>
    <row r="57" spans="1:15" x14ac:dyDescent="0.2">
      <c r="A57" s="61">
        <v>45535</v>
      </c>
      <c r="B57" s="61" t="s">
        <v>144</v>
      </c>
      <c r="C57" s="63"/>
      <c r="D57" s="63">
        <f t="shared" si="3"/>
        <v>8879093.6488682032</v>
      </c>
      <c r="E57" s="63">
        <f t="shared" si="0"/>
        <v>8802680.598242471</v>
      </c>
      <c r="F57" s="124">
        <f t="shared" si="17"/>
        <v>184981.11768475422</v>
      </c>
      <c r="G57" s="63">
        <f t="shared" si="14"/>
        <v>-1849811.1768475426</v>
      </c>
      <c r="H57" s="63">
        <f t="shared" si="15"/>
        <v>-770754.65701980935</v>
      </c>
      <c r="I57" s="63">
        <f t="shared" si="16"/>
        <v>8031925.9412226621</v>
      </c>
      <c r="J57" s="63">
        <f t="shared" si="1"/>
        <v>38846.034713798384</v>
      </c>
      <c r="K57" s="68">
        <f t="shared" si="2"/>
        <v>-1476149.319124338</v>
      </c>
      <c r="L57" s="63">
        <f t="shared" si="11"/>
        <v>-1686704.4476567579</v>
      </c>
      <c r="M57" s="69">
        <f t="shared" si="12"/>
        <v>6345221.493565904</v>
      </c>
      <c r="N57" s="64">
        <f t="shared" si="13"/>
        <v>5553133.1528963223</v>
      </c>
      <c r="O57" s="145">
        <f t="shared" si="10"/>
        <v>0.20999999999999991</v>
      </c>
    </row>
    <row r="58" spans="1:15" x14ac:dyDescent="0.2">
      <c r="A58" s="61">
        <v>45565</v>
      </c>
      <c r="B58" s="61" t="s">
        <v>144</v>
      </c>
      <c r="C58" s="63"/>
      <c r="D58" s="63">
        <f t="shared" si="3"/>
        <v>8879093.6488682032</v>
      </c>
      <c r="E58" s="63">
        <f t="shared" si="0"/>
        <v>8858751.984603595</v>
      </c>
      <c r="F58" s="124">
        <f t="shared" si="17"/>
        <v>184981.11768475422</v>
      </c>
      <c r="G58" s="63">
        <f t="shared" si="14"/>
        <v>-2034792.2945322969</v>
      </c>
      <c r="H58" s="63">
        <f t="shared" si="15"/>
        <v>-932613.13499396935</v>
      </c>
      <c r="I58" s="63">
        <f t="shared" si="16"/>
        <v>7926138.8496096255</v>
      </c>
      <c r="J58" s="63">
        <f t="shared" si="1"/>
        <v>38846.034713798384</v>
      </c>
      <c r="K58" s="68">
        <f t="shared" si="2"/>
        <v>-1437303.2844105395</v>
      </c>
      <c r="L58" s="63">
        <f t="shared" si="11"/>
        <v>-1664489.1584180209</v>
      </c>
      <c r="M58" s="69">
        <f t="shared" si="12"/>
        <v>6261649.6911916044</v>
      </c>
      <c r="N58" s="64">
        <f t="shared" si="13"/>
        <v>5406998.069925366</v>
      </c>
      <c r="O58" s="145">
        <f t="shared" si="10"/>
        <v>0.20999999999999991</v>
      </c>
    </row>
    <row r="59" spans="1:15" ht="13.5" thickBot="1" x14ac:dyDescent="0.25">
      <c r="A59" s="61">
        <v>45596</v>
      </c>
      <c r="B59" s="61" t="s">
        <v>144</v>
      </c>
      <c r="C59" s="63"/>
      <c r="D59" s="63">
        <f t="shared" si="3"/>
        <v>8879093.6488682032</v>
      </c>
      <c r="E59" s="199">
        <f t="shared" si="0"/>
        <v>8879093.6488682032</v>
      </c>
      <c r="F59" s="124">
        <f t="shared" si="17"/>
        <v>184981.11768475422</v>
      </c>
      <c r="G59" s="63">
        <f t="shared" si="14"/>
        <v>-2219773.4122170513</v>
      </c>
      <c r="H59" s="199">
        <f t="shared" si="15"/>
        <v>-1109886.7061085256</v>
      </c>
      <c r="I59" s="63">
        <f t="shared" si="16"/>
        <v>7769206.9427596778</v>
      </c>
      <c r="J59" s="63">
        <f t="shared" si="1"/>
        <v>38846.034713798384</v>
      </c>
      <c r="K59" s="68">
        <f t="shared" si="2"/>
        <v>-1398457.2496967411</v>
      </c>
      <c r="L59" s="63">
        <f t="shared" si="11"/>
        <v>-1631533.4579795317</v>
      </c>
      <c r="M59" s="69">
        <f t="shared" si="12"/>
        <v>6137673.4847801458</v>
      </c>
      <c r="N59" s="64">
        <f t="shared" si="13"/>
        <v>5260862.9869544115</v>
      </c>
      <c r="O59" s="145">
        <f t="shared" si="10"/>
        <v>0.20999999999999985</v>
      </c>
    </row>
    <row r="60" spans="1:15" x14ac:dyDescent="0.2">
      <c r="A60" s="134">
        <v>45626</v>
      </c>
      <c r="B60" s="141" t="s">
        <v>145</v>
      </c>
      <c r="C60" s="136"/>
      <c r="D60" s="136">
        <f t="shared" si="3"/>
        <v>8879093.6488682032</v>
      </c>
      <c r="E60" s="136">
        <f t="shared" si="0"/>
        <v>8879093.6488682032</v>
      </c>
      <c r="F60" s="137">
        <f t="shared" si="17"/>
        <v>184981.11768475422</v>
      </c>
      <c r="G60" s="136">
        <f t="shared" si="14"/>
        <v>-2404754.5299018053</v>
      </c>
      <c r="H60" s="136">
        <f t="shared" si="15"/>
        <v>-1294867.8237932797</v>
      </c>
      <c r="I60" s="136">
        <f t="shared" si="16"/>
        <v>7584225.8250749232</v>
      </c>
      <c r="J60" s="136">
        <f t="shared" si="1"/>
        <v>38846.034713798384</v>
      </c>
      <c r="K60" s="138">
        <f t="shared" si="2"/>
        <v>-1359611.2149829427</v>
      </c>
      <c r="L60" s="136">
        <f t="shared" si="11"/>
        <v>-1592687.4232657331</v>
      </c>
      <c r="M60" s="139">
        <f t="shared" si="12"/>
        <v>5991538.4018091904</v>
      </c>
      <c r="N60" s="140">
        <f t="shared" si="13"/>
        <v>5114727.9039834552</v>
      </c>
      <c r="O60" s="145">
        <f t="shared" si="10"/>
        <v>0.20999999999999985</v>
      </c>
    </row>
    <row r="61" spans="1:15" x14ac:dyDescent="0.2">
      <c r="A61" s="61">
        <v>45657</v>
      </c>
      <c r="B61" s="30" t="s">
        <v>145</v>
      </c>
      <c r="C61" s="63"/>
      <c r="D61" s="63">
        <f t="shared" si="3"/>
        <v>8879093.6488682032</v>
      </c>
      <c r="E61" s="63">
        <f t="shared" si="0"/>
        <v>8879093.6488682032</v>
      </c>
      <c r="F61" s="124">
        <f t="shared" si="17"/>
        <v>184981.11768475422</v>
      </c>
      <c r="G61" s="63">
        <f t="shared" si="14"/>
        <v>-2589735.6475865594</v>
      </c>
      <c r="H61" s="63">
        <f t="shared" si="15"/>
        <v>-1479848.9414780338</v>
      </c>
      <c r="I61" s="63">
        <f t="shared" si="16"/>
        <v>7399244.7073901696</v>
      </c>
      <c r="J61" s="63">
        <f t="shared" si="1"/>
        <v>38846.034713798384</v>
      </c>
      <c r="K61" s="68">
        <f t="shared" si="2"/>
        <v>-1320765.1802691442</v>
      </c>
      <c r="L61" s="63">
        <f t="shared" si="11"/>
        <v>-1553841.3885519349</v>
      </c>
      <c r="M61" s="69">
        <f t="shared" si="12"/>
        <v>5845403.318838235</v>
      </c>
      <c r="N61" s="64">
        <f t="shared" si="13"/>
        <v>4968592.8210124988</v>
      </c>
      <c r="O61" s="145">
        <f t="shared" si="10"/>
        <v>0.20999999999999985</v>
      </c>
    </row>
    <row r="62" spans="1:15" x14ac:dyDescent="0.2">
      <c r="A62" s="61">
        <v>45688</v>
      </c>
      <c r="B62" s="30" t="s">
        <v>145</v>
      </c>
      <c r="C62" s="63"/>
      <c r="D62" s="63">
        <f t="shared" si="3"/>
        <v>8879093.6488682032</v>
      </c>
      <c r="E62" s="63">
        <f t="shared" si="0"/>
        <v>8879093.6488682032</v>
      </c>
      <c r="F62" s="124">
        <f t="shared" si="17"/>
        <v>184981.11768475422</v>
      </c>
      <c r="G62" s="63">
        <f t="shared" si="14"/>
        <v>-2774716.7652713135</v>
      </c>
      <c r="H62" s="63">
        <f t="shared" si="15"/>
        <v>-1664830.0591627881</v>
      </c>
      <c r="I62" s="63">
        <f t="shared" si="16"/>
        <v>7214263.5897054151</v>
      </c>
      <c r="J62" s="63">
        <f t="shared" si="1"/>
        <v>38846.034713798384</v>
      </c>
      <c r="K62" s="68">
        <f t="shared" si="2"/>
        <v>-1281919.1455553458</v>
      </c>
      <c r="L62" s="63">
        <f t="shared" si="11"/>
        <v>-1514995.3538381364</v>
      </c>
      <c r="M62" s="69">
        <f t="shared" si="12"/>
        <v>5699268.2358672787</v>
      </c>
      <c r="N62" s="64">
        <f t="shared" si="13"/>
        <v>4822457.7380415443</v>
      </c>
      <c r="O62" s="145">
        <f t="shared" si="10"/>
        <v>0.20999999999999983</v>
      </c>
    </row>
    <row r="63" spans="1:15" x14ac:dyDescent="0.2">
      <c r="A63" s="61">
        <v>45716</v>
      </c>
      <c r="B63" s="30" t="s">
        <v>145</v>
      </c>
      <c r="C63" s="63"/>
      <c r="D63" s="63">
        <f t="shared" si="3"/>
        <v>8879093.6488682032</v>
      </c>
      <c r="E63" s="63">
        <f t="shared" si="0"/>
        <v>8879093.6488682032</v>
      </c>
      <c r="F63" s="124">
        <f t="shared" si="17"/>
        <v>184981.11768475422</v>
      </c>
      <c r="G63" s="63">
        <f t="shared" si="14"/>
        <v>-2959697.8829560676</v>
      </c>
      <c r="H63" s="63">
        <f t="shared" si="15"/>
        <v>-1849811.1768475424</v>
      </c>
      <c r="I63" s="63">
        <f t="shared" si="16"/>
        <v>7029282.4720206605</v>
      </c>
      <c r="J63" s="63">
        <f t="shared" si="1"/>
        <v>38846.034713798384</v>
      </c>
      <c r="K63" s="68">
        <f t="shared" si="2"/>
        <v>-1243073.1108415474</v>
      </c>
      <c r="L63" s="63">
        <f t="shared" si="11"/>
        <v>-1476149.3191243382</v>
      </c>
      <c r="M63" s="69">
        <f t="shared" si="12"/>
        <v>5553133.1528963223</v>
      </c>
      <c r="N63" s="64">
        <f t="shared" si="13"/>
        <v>4676322.6550705889</v>
      </c>
      <c r="O63" s="145">
        <f t="shared" si="10"/>
        <v>0.2099999999999998</v>
      </c>
    </row>
    <row r="64" spans="1:15" x14ac:dyDescent="0.2">
      <c r="A64" s="61">
        <v>45747</v>
      </c>
      <c r="B64" s="30" t="s">
        <v>145</v>
      </c>
      <c r="C64" s="63"/>
      <c r="D64" s="63">
        <f t="shared" si="3"/>
        <v>8879093.6488682032</v>
      </c>
      <c r="E64" s="63">
        <f t="shared" si="0"/>
        <v>8879093.6488682032</v>
      </c>
      <c r="F64" s="124">
        <f t="shared" si="17"/>
        <v>184981.11768475422</v>
      </c>
      <c r="G64" s="63">
        <f t="shared" si="14"/>
        <v>-3144679.0006408216</v>
      </c>
      <c r="H64" s="63">
        <f t="shared" si="15"/>
        <v>-2034792.2945322965</v>
      </c>
      <c r="I64" s="63">
        <f t="shared" si="16"/>
        <v>6844301.3543359069</v>
      </c>
      <c r="J64" s="63">
        <f t="shared" si="1"/>
        <v>38846.034713798384</v>
      </c>
      <c r="K64" s="68">
        <f t="shared" si="2"/>
        <v>-1204227.0761277489</v>
      </c>
      <c r="L64" s="63">
        <f t="shared" si="11"/>
        <v>-1437303.2844105398</v>
      </c>
      <c r="M64" s="69">
        <f t="shared" si="12"/>
        <v>5406998.0699253669</v>
      </c>
      <c r="N64" s="64">
        <f t="shared" si="13"/>
        <v>4530187.5720996326</v>
      </c>
      <c r="O64" s="145">
        <f t="shared" si="10"/>
        <v>0.2099999999999998</v>
      </c>
    </row>
    <row r="65" spans="1:15" x14ac:dyDescent="0.2">
      <c r="A65" s="61">
        <v>45777</v>
      </c>
      <c r="B65" s="30" t="s">
        <v>145</v>
      </c>
      <c r="C65" s="63"/>
      <c r="D65" s="63">
        <f t="shared" si="3"/>
        <v>8879093.6488682032</v>
      </c>
      <c r="E65" s="63">
        <f t="shared" si="0"/>
        <v>8879093.6488682032</v>
      </c>
      <c r="F65" s="124">
        <f t="shared" si="17"/>
        <v>184981.11768475422</v>
      </c>
      <c r="G65" s="63">
        <f t="shared" si="14"/>
        <v>-3329660.1183255757</v>
      </c>
      <c r="H65" s="63">
        <f t="shared" si="15"/>
        <v>-2219773.4122170508</v>
      </c>
      <c r="I65" s="63">
        <f t="shared" si="16"/>
        <v>6659320.2366511524</v>
      </c>
      <c r="J65" s="63">
        <f t="shared" si="1"/>
        <v>38846.034713798384</v>
      </c>
      <c r="K65" s="68">
        <f t="shared" si="2"/>
        <v>-1165381.0414139505</v>
      </c>
      <c r="L65" s="63">
        <f t="shared" si="11"/>
        <v>-1398457.2496967411</v>
      </c>
      <c r="M65" s="69">
        <f t="shared" si="12"/>
        <v>5260862.9869544115</v>
      </c>
      <c r="N65" s="64">
        <f t="shared" si="13"/>
        <v>4384052.4891286762</v>
      </c>
      <c r="O65" s="145">
        <f t="shared" si="10"/>
        <v>0.2099999999999998</v>
      </c>
    </row>
    <row r="66" spans="1:15" x14ac:dyDescent="0.2">
      <c r="A66" s="61">
        <v>45808</v>
      </c>
      <c r="B66" s="30" t="s">
        <v>145</v>
      </c>
      <c r="C66" s="63"/>
      <c r="D66" s="63">
        <f t="shared" si="3"/>
        <v>8879093.6488682032</v>
      </c>
      <c r="E66" s="63">
        <f t="shared" si="0"/>
        <v>8879093.6488682032</v>
      </c>
      <c r="F66" s="124">
        <f t="shared" si="17"/>
        <v>184981.11768475422</v>
      </c>
      <c r="G66" s="63">
        <f t="shared" si="14"/>
        <v>-3514641.2360103298</v>
      </c>
      <c r="H66" s="63">
        <f t="shared" si="15"/>
        <v>-2404754.5299018053</v>
      </c>
      <c r="I66" s="63">
        <f t="shared" si="16"/>
        <v>6474339.1189663978</v>
      </c>
      <c r="J66" s="63">
        <f t="shared" si="1"/>
        <v>38846.034713798384</v>
      </c>
      <c r="K66" s="68">
        <f t="shared" si="2"/>
        <v>-1126535.0067001521</v>
      </c>
      <c r="L66" s="63">
        <f t="shared" si="11"/>
        <v>-1359611.2149829427</v>
      </c>
      <c r="M66" s="69">
        <f t="shared" si="12"/>
        <v>5114727.9039834552</v>
      </c>
      <c r="N66" s="64">
        <f t="shared" si="13"/>
        <v>4237917.4061577208</v>
      </c>
      <c r="O66" s="145">
        <f t="shared" si="10"/>
        <v>0.20999999999999974</v>
      </c>
    </row>
    <row r="67" spans="1:15" x14ac:dyDescent="0.2">
      <c r="A67" s="61">
        <v>45838</v>
      </c>
      <c r="B67" s="30" t="s">
        <v>145</v>
      </c>
      <c r="C67" s="63"/>
      <c r="D67" s="63">
        <f t="shared" si="3"/>
        <v>8879093.6488682032</v>
      </c>
      <c r="E67" s="63">
        <f t="shared" si="0"/>
        <v>8879093.6488682032</v>
      </c>
      <c r="F67" s="124">
        <f t="shared" si="17"/>
        <v>184981.11768475422</v>
      </c>
      <c r="G67" s="63">
        <f t="shared" si="14"/>
        <v>-3699622.3536950839</v>
      </c>
      <c r="H67" s="63">
        <f t="shared" si="15"/>
        <v>-2589735.6475865589</v>
      </c>
      <c r="I67" s="63">
        <f t="shared" si="16"/>
        <v>6289358.0012816442</v>
      </c>
      <c r="J67" s="63">
        <f t="shared" si="1"/>
        <v>38846.034713798384</v>
      </c>
      <c r="K67" s="68">
        <f t="shared" si="2"/>
        <v>-1087688.9719863536</v>
      </c>
      <c r="L67" s="63">
        <f t="shared" si="11"/>
        <v>-1320765.1802691442</v>
      </c>
      <c r="M67" s="69">
        <f t="shared" si="12"/>
        <v>4968592.8210124997</v>
      </c>
      <c r="N67" s="64">
        <f t="shared" si="13"/>
        <v>4091782.3231867664</v>
      </c>
      <c r="O67" s="145">
        <f t="shared" si="10"/>
        <v>0.20999999999999971</v>
      </c>
    </row>
    <row r="68" spans="1:15" x14ac:dyDescent="0.2">
      <c r="A68" s="61">
        <v>45869</v>
      </c>
      <c r="B68" s="30" t="s">
        <v>145</v>
      </c>
      <c r="C68" s="63"/>
      <c r="D68" s="63">
        <f t="shared" si="3"/>
        <v>8879093.6488682032</v>
      </c>
      <c r="E68" s="63">
        <f t="shared" si="0"/>
        <v>8879093.6488682032</v>
      </c>
      <c r="F68" s="124">
        <f t="shared" si="17"/>
        <v>184981.11768475422</v>
      </c>
      <c r="G68" s="63">
        <f t="shared" si="14"/>
        <v>-3884603.471379838</v>
      </c>
      <c r="H68" s="63">
        <f t="shared" si="15"/>
        <v>-2774716.765271313</v>
      </c>
      <c r="I68" s="63">
        <f t="shared" si="16"/>
        <v>6104376.8835968897</v>
      </c>
      <c r="J68" s="63">
        <f t="shared" si="1"/>
        <v>38846.034713798384</v>
      </c>
      <c r="K68" s="68">
        <f t="shared" si="2"/>
        <v>-1048842.9372725552</v>
      </c>
      <c r="L68" s="63">
        <f t="shared" si="11"/>
        <v>-1281919.1455553458</v>
      </c>
      <c r="M68" s="69">
        <f t="shared" si="12"/>
        <v>4822457.7380415443</v>
      </c>
      <c r="N68" s="64">
        <f t="shared" si="13"/>
        <v>3945647.24021581</v>
      </c>
      <c r="O68" s="145">
        <f t="shared" si="10"/>
        <v>0.20999999999999969</v>
      </c>
    </row>
    <row r="69" spans="1:15" x14ac:dyDescent="0.2">
      <c r="A69" s="61">
        <v>45900</v>
      </c>
      <c r="B69" s="30" t="s">
        <v>145</v>
      </c>
      <c r="C69" s="63"/>
      <c r="D69" s="63">
        <f t="shared" si="3"/>
        <v>8879093.6488682032</v>
      </c>
      <c r="E69" s="63">
        <f t="shared" si="0"/>
        <v>8879093.6488682032</v>
      </c>
      <c r="F69" s="124">
        <f t="shared" si="17"/>
        <v>184981.11768475422</v>
      </c>
      <c r="G69" s="63">
        <f t="shared" si="14"/>
        <v>-4069584.589064592</v>
      </c>
      <c r="H69" s="63">
        <f t="shared" si="15"/>
        <v>-2959697.8829560676</v>
      </c>
      <c r="I69" s="63">
        <f t="shared" si="16"/>
        <v>5919395.7659121361</v>
      </c>
      <c r="J69" s="63">
        <f t="shared" si="1"/>
        <v>38846.034713798384</v>
      </c>
      <c r="K69" s="68">
        <f t="shared" si="2"/>
        <v>-1009996.9025587568</v>
      </c>
      <c r="L69" s="63">
        <f t="shared" si="11"/>
        <v>-1243073.1108415476</v>
      </c>
      <c r="M69" s="69">
        <f t="shared" si="12"/>
        <v>4676322.655070588</v>
      </c>
      <c r="N69" s="64">
        <f t="shared" si="13"/>
        <v>3799512.1572448537</v>
      </c>
      <c r="O69" s="145">
        <f t="shared" si="10"/>
        <v>0.20999999999999969</v>
      </c>
    </row>
    <row r="70" spans="1:15" x14ac:dyDescent="0.2">
      <c r="A70" s="61">
        <v>45930</v>
      </c>
      <c r="B70" s="30" t="s">
        <v>145</v>
      </c>
      <c r="C70" s="63"/>
      <c r="D70" s="63">
        <f t="shared" si="3"/>
        <v>8879093.6488682032</v>
      </c>
      <c r="E70" s="63">
        <f t="shared" si="0"/>
        <v>8879093.6488682032</v>
      </c>
      <c r="F70" s="124">
        <f t="shared" si="17"/>
        <v>184981.11768475422</v>
      </c>
      <c r="G70" s="63">
        <f t="shared" si="14"/>
        <v>-4254565.7067493461</v>
      </c>
      <c r="H70" s="63">
        <f t="shared" si="15"/>
        <v>-3144679.0006408221</v>
      </c>
      <c r="I70" s="63">
        <f t="shared" si="16"/>
        <v>5734414.6482273806</v>
      </c>
      <c r="J70" s="63">
        <f t="shared" si="1"/>
        <v>38846.034713798384</v>
      </c>
      <c r="K70" s="68">
        <f t="shared" si="2"/>
        <v>-971150.86784495832</v>
      </c>
      <c r="L70" s="63">
        <f t="shared" si="11"/>
        <v>-1204227.0761277492</v>
      </c>
      <c r="M70" s="69">
        <f t="shared" si="12"/>
        <v>4530187.5720996317</v>
      </c>
      <c r="N70" s="64">
        <f t="shared" si="13"/>
        <v>3653377.0742738987</v>
      </c>
      <c r="O70" s="145">
        <f t="shared" si="10"/>
        <v>0.20999999999999963</v>
      </c>
    </row>
    <row r="71" spans="1:15" ht="13.5" thickBot="1" x14ac:dyDescent="0.25">
      <c r="A71" s="61">
        <v>45961</v>
      </c>
      <c r="B71" s="30" t="s">
        <v>145</v>
      </c>
      <c r="C71" s="63"/>
      <c r="D71" s="63">
        <f t="shared" si="3"/>
        <v>8879093.6488682032</v>
      </c>
      <c r="E71" s="63">
        <f t="shared" si="0"/>
        <v>8879093.6488682032</v>
      </c>
      <c r="F71" s="124">
        <f t="shared" si="17"/>
        <v>184981.11768475422</v>
      </c>
      <c r="G71" s="63">
        <f t="shared" si="14"/>
        <v>-4439546.8244341007</v>
      </c>
      <c r="H71" s="63">
        <f t="shared" si="15"/>
        <v>-3329660.1183255757</v>
      </c>
      <c r="I71" s="63">
        <f t="shared" si="16"/>
        <v>5549433.530542627</v>
      </c>
      <c r="J71" s="63">
        <f t="shared" si="1"/>
        <v>38846.034713798384</v>
      </c>
      <c r="K71" s="68">
        <f t="shared" si="2"/>
        <v>-932304.83313115989</v>
      </c>
      <c r="L71" s="63">
        <f t="shared" si="11"/>
        <v>-1165381.0414139505</v>
      </c>
      <c r="M71" s="69">
        <f t="shared" si="12"/>
        <v>4384052.4891286762</v>
      </c>
      <c r="N71" s="64">
        <f t="shared" si="13"/>
        <v>3507241.9913029429</v>
      </c>
      <c r="O71" s="145">
        <f t="shared" si="10"/>
        <v>0.20999999999999963</v>
      </c>
    </row>
    <row r="72" spans="1:15" x14ac:dyDescent="0.2">
      <c r="A72" s="134">
        <v>45991</v>
      </c>
      <c r="B72" s="141" t="s">
        <v>146</v>
      </c>
      <c r="C72" s="136"/>
      <c r="D72" s="136">
        <f t="shared" si="3"/>
        <v>8879093.6488682032</v>
      </c>
      <c r="E72" s="136">
        <f t="shared" si="0"/>
        <v>8879093.6488682032</v>
      </c>
      <c r="F72" s="137">
        <f t="shared" si="17"/>
        <v>184981.11768475422</v>
      </c>
      <c r="G72" s="136">
        <f t="shared" si="14"/>
        <v>-4624527.9421188552</v>
      </c>
      <c r="H72" s="136">
        <f t="shared" si="15"/>
        <v>-3514641.2360103298</v>
      </c>
      <c r="I72" s="136">
        <f t="shared" si="16"/>
        <v>5364452.4128578734</v>
      </c>
      <c r="J72" s="136">
        <f t="shared" si="1"/>
        <v>38846.034713798384</v>
      </c>
      <c r="K72" s="138">
        <f t="shared" si="2"/>
        <v>-893458.79841736145</v>
      </c>
      <c r="L72" s="136">
        <f t="shared" si="11"/>
        <v>-1126535.0067001523</v>
      </c>
      <c r="M72" s="139">
        <f t="shared" si="12"/>
        <v>4237917.4061577208</v>
      </c>
      <c r="N72" s="140">
        <f t="shared" si="13"/>
        <v>3361106.9083319865</v>
      </c>
      <c r="O72" s="145">
        <f t="shared" si="10"/>
        <v>0.20999999999999963</v>
      </c>
    </row>
    <row r="73" spans="1:15" x14ac:dyDescent="0.2">
      <c r="A73" s="61">
        <v>46022</v>
      </c>
      <c r="B73" s="30" t="s">
        <v>146</v>
      </c>
      <c r="C73" s="63"/>
      <c r="D73" s="63">
        <f t="shared" si="3"/>
        <v>8879093.6488682032</v>
      </c>
      <c r="E73" s="63">
        <f t="shared" si="0"/>
        <v>8879093.6488682032</v>
      </c>
      <c r="F73" s="124">
        <f t="shared" si="17"/>
        <v>184981.11768475422</v>
      </c>
      <c r="G73" s="63">
        <f t="shared" si="14"/>
        <v>-4809509.0598036097</v>
      </c>
      <c r="H73" s="63">
        <f t="shared" si="15"/>
        <v>-3699622.3536950839</v>
      </c>
      <c r="I73" s="63">
        <f t="shared" si="16"/>
        <v>5179471.2951731198</v>
      </c>
      <c r="J73" s="63">
        <f t="shared" si="1"/>
        <v>38846.034713798384</v>
      </c>
      <c r="K73" s="68">
        <f t="shared" si="2"/>
        <v>-854612.76370356302</v>
      </c>
      <c r="L73" s="63">
        <f t="shared" si="11"/>
        <v>-1087688.9719863536</v>
      </c>
      <c r="M73" s="69">
        <f t="shared" si="12"/>
        <v>4091782.3231867664</v>
      </c>
      <c r="N73" s="64">
        <f t="shared" si="13"/>
        <v>3214971.8253610302</v>
      </c>
      <c r="O73" s="145">
        <f t="shared" si="10"/>
        <v>0.2099999999999996</v>
      </c>
    </row>
    <row r="74" spans="1:15" x14ac:dyDescent="0.2">
      <c r="A74" s="61">
        <v>46053</v>
      </c>
      <c r="B74" s="30" t="s">
        <v>146</v>
      </c>
      <c r="C74" s="30"/>
      <c r="D74" s="63">
        <f t="shared" si="3"/>
        <v>8879093.6488682032</v>
      </c>
      <c r="E74" s="63">
        <f t="shared" si="0"/>
        <v>8879093.6488682032</v>
      </c>
      <c r="F74" s="124">
        <f t="shared" si="17"/>
        <v>184981.11768475422</v>
      </c>
      <c r="G74" s="63">
        <f t="shared" si="14"/>
        <v>-4994490.1774883643</v>
      </c>
      <c r="H74" s="63">
        <f t="shared" si="15"/>
        <v>-3884603.4713798384</v>
      </c>
      <c r="I74" s="63">
        <f t="shared" si="16"/>
        <v>4994490.1774883643</v>
      </c>
      <c r="J74" s="63">
        <f t="shared" si="1"/>
        <v>38846.034713798384</v>
      </c>
      <c r="K74" s="68">
        <f t="shared" si="2"/>
        <v>-815766.72898976458</v>
      </c>
      <c r="L74" s="63">
        <f t="shared" si="11"/>
        <v>-1048842.9372725552</v>
      </c>
      <c r="M74" s="69">
        <f t="shared" si="12"/>
        <v>3945647.2402158091</v>
      </c>
      <c r="N74" s="64">
        <f t="shared" si="13"/>
        <v>3068836.7423900743</v>
      </c>
      <c r="O74" s="145">
        <f t="shared" si="10"/>
        <v>0.2099999999999996</v>
      </c>
    </row>
    <row r="75" spans="1:15" x14ac:dyDescent="0.2">
      <c r="A75" s="61">
        <v>46081</v>
      </c>
      <c r="B75" s="30" t="s">
        <v>146</v>
      </c>
      <c r="C75" s="30"/>
      <c r="D75" s="63">
        <f t="shared" si="3"/>
        <v>8879093.6488682032</v>
      </c>
      <c r="E75" s="63">
        <f t="shared" si="0"/>
        <v>8879093.6488682032</v>
      </c>
      <c r="F75" s="124">
        <f t="shared" si="17"/>
        <v>184981.11768475422</v>
      </c>
      <c r="G75" s="63">
        <f t="shared" si="14"/>
        <v>-5179471.2951731188</v>
      </c>
      <c r="H75" s="63">
        <f t="shared" si="15"/>
        <v>-4069584.5890645925</v>
      </c>
      <c r="I75" s="63">
        <f t="shared" si="16"/>
        <v>4809509.0598036107</v>
      </c>
      <c r="J75" s="63">
        <f t="shared" si="1"/>
        <v>38846.034713798384</v>
      </c>
      <c r="K75" s="68">
        <f t="shared" si="2"/>
        <v>-776920.69427596615</v>
      </c>
      <c r="L75" s="63">
        <f t="shared" si="11"/>
        <v>-1009996.9025587569</v>
      </c>
      <c r="M75" s="69">
        <f t="shared" si="12"/>
        <v>3799512.1572448537</v>
      </c>
      <c r="N75" s="64">
        <f t="shared" si="13"/>
        <v>2922701.6594191184</v>
      </c>
      <c r="O75" s="145">
        <f t="shared" si="10"/>
        <v>0.20999999999999958</v>
      </c>
    </row>
    <row r="76" spans="1:15" x14ac:dyDescent="0.2">
      <c r="A76" s="61">
        <v>46112</v>
      </c>
      <c r="B76" s="30" t="s">
        <v>146</v>
      </c>
      <c r="C76" s="30"/>
      <c r="D76" s="63">
        <f t="shared" si="3"/>
        <v>8879093.6488682032</v>
      </c>
      <c r="E76" s="63">
        <f t="shared" si="0"/>
        <v>8879093.6488682032</v>
      </c>
      <c r="F76" s="124">
        <f t="shared" si="17"/>
        <v>184981.11768475422</v>
      </c>
      <c r="G76" s="63">
        <f t="shared" si="14"/>
        <v>-5364452.4128578734</v>
      </c>
      <c r="H76" s="63">
        <f t="shared" si="15"/>
        <v>-4254565.706749347</v>
      </c>
      <c r="I76" s="63">
        <f t="shared" si="16"/>
        <v>4624527.9421188561</v>
      </c>
      <c r="J76" s="63">
        <f t="shared" si="1"/>
        <v>38846.034713798384</v>
      </c>
      <c r="K76" s="68">
        <f t="shared" si="2"/>
        <v>-738074.65956216771</v>
      </c>
      <c r="L76" s="63">
        <f t="shared" si="11"/>
        <v>-971150.86784495832</v>
      </c>
      <c r="M76" s="69">
        <f t="shared" si="12"/>
        <v>3653377.0742738978</v>
      </c>
      <c r="N76" s="64">
        <f t="shared" si="13"/>
        <v>2776566.5764481621</v>
      </c>
      <c r="O76" s="145">
        <f t="shared" si="10"/>
        <v>0.20999999999999955</v>
      </c>
    </row>
    <row r="77" spans="1:15" x14ac:dyDescent="0.2">
      <c r="A77" s="61">
        <v>46142</v>
      </c>
      <c r="B77" s="30" t="s">
        <v>146</v>
      </c>
      <c r="C77" s="30"/>
      <c r="D77" s="63">
        <f t="shared" si="3"/>
        <v>8879093.6488682032</v>
      </c>
      <c r="E77" s="63">
        <f t="shared" si="0"/>
        <v>8879093.6488682032</v>
      </c>
      <c r="F77" s="124">
        <f t="shared" si="17"/>
        <v>184981.11768475422</v>
      </c>
      <c r="G77" s="63">
        <f t="shared" si="14"/>
        <v>-5549433.5305426279</v>
      </c>
      <c r="H77" s="63">
        <f t="shared" si="15"/>
        <v>-4439546.8244341007</v>
      </c>
      <c r="I77" s="63">
        <f t="shared" si="16"/>
        <v>4439546.8244341025</v>
      </c>
      <c r="J77" s="63">
        <f t="shared" si="1"/>
        <v>38846.034713798384</v>
      </c>
      <c r="K77" s="68">
        <f t="shared" si="2"/>
        <v>-699228.62484836928</v>
      </c>
      <c r="L77" s="63">
        <f t="shared" si="11"/>
        <v>-932304.83313116</v>
      </c>
      <c r="M77" s="69">
        <f t="shared" si="12"/>
        <v>3507241.9913029424</v>
      </c>
      <c r="N77" s="64">
        <f t="shared" si="13"/>
        <v>2630431.4934772057</v>
      </c>
      <c r="O77" s="145">
        <f t="shared" si="10"/>
        <v>0.20999999999999955</v>
      </c>
    </row>
    <row r="78" spans="1:15" x14ac:dyDescent="0.2">
      <c r="A78" s="61">
        <v>46173</v>
      </c>
      <c r="B78" s="30" t="s">
        <v>146</v>
      </c>
      <c r="C78" s="30"/>
      <c r="D78" s="63">
        <f t="shared" si="3"/>
        <v>8879093.6488682032</v>
      </c>
      <c r="E78" s="63">
        <f t="shared" si="0"/>
        <v>8879093.6488682032</v>
      </c>
      <c r="F78" s="124">
        <f t="shared" si="17"/>
        <v>184981.11768475422</v>
      </c>
      <c r="G78" s="63">
        <f t="shared" si="14"/>
        <v>-5734414.6482273825</v>
      </c>
      <c r="H78" s="63">
        <f t="shared" si="15"/>
        <v>-4624527.9421188552</v>
      </c>
      <c r="I78" s="63">
        <f t="shared" si="16"/>
        <v>4254565.706749348</v>
      </c>
      <c r="J78" s="63">
        <f t="shared" si="1"/>
        <v>38846.034713798384</v>
      </c>
      <c r="K78" s="68">
        <f t="shared" si="2"/>
        <v>-660382.59013457084</v>
      </c>
      <c r="L78" s="63">
        <f t="shared" si="11"/>
        <v>-893458.79841736157</v>
      </c>
      <c r="M78" s="69">
        <f t="shared" si="12"/>
        <v>3361106.9083319865</v>
      </c>
      <c r="N78" s="64">
        <f t="shared" si="13"/>
        <v>2484296.4105062499</v>
      </c>
      <c r="O78" s="145">
        <f t="shared" si="10"/>
        <v>0.20999999999999952</v>
      </c>
    </row>
    <row r="79" spans="1:15" x14ac:dyDescent="0.2">
      <c r="A79" s="61">
        <v>46203</v>
      </c>
      <c r="B79" s="30" t="s">
        <v>146</v>
      </c>
      <c r="D79" s="63">
        <f t="shared" si="3"/>
        <v>8879093.6488682032</v>
      </c>
      <c r="E79" s="63">
        <f t="shared" si="0"/>
        <v>8879093.6488682032</v>
      </c>
      <c r="F79" s="124">
        <f t="shared" si="17"/>
        <v>184981.11768475422</v>
      </c>
      <c r="G79" s="63">
        <f t="shared" si="14"/>
        <v>-5919395.765912137</v>
      </c>
      <c r="H79" s="63">
        <f t="shared" si="15"/>
        <v>-4809509.0598036107</v>
      </c>
      <c r="I79" s="63">
        <f t="shared" si="16"/>
        <v>4069584.5890645925</v>
      </c>
      <c r="J79" s="63">
        <f t="shared" si="1"/>
        <v>38846.034713798384</v>
      </c>
      <c r="K79" s="68">
        <f t="shared" si="2"/>
        <v>-621536.55542077241</v>
      </c>
      <c r="L79" s="63">
        <f t="shared" si="11"/>
        <v>-854612.76370356278</v>
      </c>
      <c r="M79" s="63">
        <f t="shared" si="12"/>
        <v>3214971.8253610297</v>
      </c>
      <c r="N79" s="64">
        <f t="shared" si="13"/>
        <v>2338161.327535294</v>
      </c>
      <c r="O79" s="145">
        <f t="shared" si="10"/>
        <v>0.20999999999999949</v>
      </c>
    </row>
    <row r="80" spans="1:15" x14ac:dyDescent="0.2">
      <c r="A80" s="61">
        <v>46234</v>
      </c>
      <c r="B80" s="30" t="s">
        <v>146</v>
      </c>
      <c r="D80" s="63">
        <f t="shared" si="3"/>
        <v>8879093.6488682032</v>
      </c>
      <c r="E80" s="63">
        <f t="shared" si="0"/>
        <v>8879093.6488682032</v>
      </c>
      <c r="F80" s="124">
        <f t="shared" si="17"/>
        <v>184981.11768475422</v>
      </c>
      <c r="G80" s="63">
        <f t="shared" si="14"/>
        <v>-6104376.8835968915</v>
      </c>
      <c r="H80" s="63">
        <f t="shared" si="15"/>
        <v>-4994490.1774883643</v>
      </c>
      <c r="I80" s="63">
        <f t="shared" si="16"/>
        <v>3884603.4713798389</v>
      </c>
      <c r="J80" s="63">
        <f t="shared" si="1"/>
        <v>38846.034713798384</v>
      </c>
      <c r="K80" s="68">
        <f t="shared" si="2"/>
        <v>-582690.52070697397</v>
      </c>
      <c r="L80" s="63">
        <f t="shared" si="11"/>
        <v>-815766.7289897647</v>
      </c>
      <c r="M80" s="63">
        <f t="shared" si="12"/>
        <v>3068836.7423900743</v>
      </c>
      <c r="N80" s="64">
        <f t="shared" si="13"/>
        <v>2192026.2445643377</v>
      </c>
      <c r="O80" s="145">
        <f t="shared" si="10"/>
        <v>0.20999999999999946</v>
      </c>
    </row>
    <row r="81" spans="1:15" x14ac:dyDescent="0.2">
      <c r="A81" s="61">
        <v>46265</v>
      </c>
      <c r="B81" s="30" t="s">
        <v>146</v>
      </c>
      <c r="D81" s="63">
        <f t="shared" si="3"/>
        <v>8879093.6488682032</v>
      </c>
      <c r="E81" s="63">
        <f t="shared" si="0"/>
        <v>8879093.6488682032</v>
      </c>
      <c r="F81" s="124">
        <f t="shared" si="17"/>
        <v>184981.11768475422</v>
      </c>
      <c r="G81" s="63">
        <f t="shared" si="14"/>
        <v>-6289358.0012816461</v>
      </c>
      <c r="H81" s="63">
        <f t="shared" si="15"/>
        <v>-5179471.2951731188</v>
      </c>
      <c r="I81" s="63">
        <f t="shared" si="16"/>
        <v>3699622.3536950843</v>
      </c>
      <c r="J81" s="63">
        <f t="shared" si="1"/>
        <v>38846.034713798384</v>
      </c>
      <c r="K81" s="68">
        <f t="shared" si="2"/>
        <v>-543844.48599317553</v>
      </c>
      <c r="L81" s="63">
        <f t="shared" si="11"/>
        <v>-776920.69427596603</v>
      </c>
      <c r="M81" s="63">
        <f t="shared" si="12"/>
        <v>2922701.6594191184</v>
      </c>
      <c r="N81" s="64">
        <f t="shared" si="13"/>
        <v>2045891.1615933815</v>
      </c>
      <c r="O81" s="145">
        <f t="shared" si="10"/>
        <v>0.20999999999999944</v>
      </c>
    </row>
    <row r="82" spans="1:15" x14ac:dyDescent="0.2">
      <c r="A82" s="61">
        <v>46295</v>
      </c>
      <c r="B82" s="30" t="s">
        <v>146</v>
      </c>
      <c r="D82" s="63">
        <f t="shared" si="3"/>
        <v>8879093.6488682032</v>
      </c>
      <c r="E82" s="63">
        <f t="shared" si="0"/>
        <v>8879093.6488682032</v>
      </c>
      <c r="F82" s="124">
        <f t="shared" si="17"/>
        <v>184981.11768475422</v>
      </c>
      <c r="G82" s="63">
        <f t="shared" si="14"/>
        <v>-6474339.1189664006</v>
      </c>
      <c r="H82" s="63">
        <f t="shared" si="15"/>
        <v>-5364452.4128578743</v>
      </c>
      <c r="I82" s="63">
        <f t="shared" si="16"/>
        <v>3514641.2360103289</v>
      </c>
      <c r="J82" s="63">
        <f t="shared" si="1"/>
        <v>38846.034713798384</v>
      </c>
      <c r="K82" s="68">
        <f t="shared" si="2"/>
        <v>-504998.45127937716</v>
      </c>
      <c r="L82" s="63">
        <f t="shared" si="11"/>
        <v>-738074.65956216771</v>
      </c>
      <c r="M82" s="63">
        <f t="shared" si="12"/>
        <v>2776566.5764481612</v>
      </c>
      <c r="N82" s="64">
        <f t="shared" si="13"/>
        <v>1899756.0786224254</v>
      </c>
      <c r="O82" s="145">
        <f t="shared" si="10"/>
        <v>0.20999999999999944</v>
      </c>
    </row>
    <row r="83" spans="1:15" ht="13.5" thickBot="1" x14ac:dyDescent="0.25">
      <c r="A83" s="61">
        <v>46326</v>
      </c>
      <c r="B83" s="30" t="s">
        <v>146</v>
      </c>
      <c r="D83" s="63">
        <f t="shared" si="3"/>
        <v>8879093.6488682032</v>
      </c>
      <c r="E83" s="63">
        <f t="shared" si="0"/>
        <v>8879093.6488682032</v>
      </c>
      <c r="F83" s="124">
        <f t="shared" si="17"/>
        <v>184981.11768475422</v>
      </c>
      <c r="G83" s="63">
        <f t="shared" si="14"/>
        <v>-6659320.2366511552</v>
      </c>
      <c r="H83" s="63">
        <f t="shared" si="15"/>
        <v>-5549433.5305426279</v>
      </c>
      <c r="I83" s="63">
        <f t="shared" si="16"/>
        <v>3329660.1183255753</v>
      </c>
      <c r="J83" s="63">
        <f t="shared" si="1"/>
        <v>38846.034713798384</v>
      </c>
      <c r="K83" s="68">
        <f t="shared" si="2"/>
        <v>-466152.41656557878</v>
      </c>
      <c r="L83" s="63">
        <f t="shared" si="11"/>
        <v>-699228.62484836939</v>
      </c>
      <c r="M83" s="63">
        <f t="shared" si="12"/>
        <v>2630431.4934772057</v>
      </c>
      <c r="N83" s="64">
        <f t="shared" si="13"/>
        <v>1753620.9956514691</v>
      </c>
      <c r="O83" s="145">
        <f t="shared" si="10"/>
        <v>0.20999999999999941</v>
      </c>
    </row>
    <row r="84" spans="1:15" x14ac:dyDescent="0.2">
      <c r="A84" s="134">
        <v>46356</v>
      </c>
      <c r="B84" s="141" t="s">
        <v>147</v>
      </c>
      <c r="C84" s="141"/>
      <c r="D84" s="136">
        <f t="shared" si="3"/>
        <v>8879093.6488682032</v>
      </c>
      <c r="E84" s="136">
        <f t="shared" si="0"/>
        <v>8879093.6488682032</v>
      </c>
      <c r="F84" s="137">
        <f t="shared" si="17"/>
        <v>184981.11768475422</v>
      </c>
      <c r="G84" s="136">
        <f t="shared" si="14"/>
        <v>-6844301.3543359097</v>
      </c>
      <c r="H84" s="136">
        <f t="shared" si="15"/>
        <v>-5734414.6482273825</v>
      </c>
      <c r="I84" s="136">
        <f t="shared" si="16"/>
        <v>3144679.0006408207</v>
      </c>
      <c r="J84" s="136">
        <f t="shared" si="1"/>
        <v>38846.034713798384</v>
      </c>
      <c r="K84" s="138">
        <f t="shared" si="2"/>
        <v>-427306.3818517804</v>
      </c>
      <c r="L84" s="136">
        <f t="shared" si="11"/>
        <v>-660382.59013457096</v>
      </c>
      <c r="M84" s="136">
        <f t="shared" si="12"/>
        <v>2484296.4105062499</v>
      </c>
      <c r="N84" s="140">
        <f t="shared" si="13"/>
        <v>1607485.912680513</v>
      </c>
      <c r="O84" s="145">
        <f t="shared" si="10"/>
        <v>0.20999999999999941</v>
      </c>
    </row>
    <row r="85" spans="1:15" x14ac:dyDescent="0.2">
      <c r="A85" s="61">
        <v>46387</v>
      </c>
      <c r="B85" s="30" t="s">
        <v>147</v>
      </c>
      <c r="D85" s="63">
        <f t="shared" si="3"/>
        <v>8879093.6488682032</v>
      </c>
      <c r="E85" s="63">
        <f t="shared" si="0"/>
        <v>8879093.6488682032</v>
      </c>
      <c r="F85" s="124">
        <f t="shared" si="17"/>
        <v>184981.11768475422</v>
      </c>
      <c r="G85" s="63">
        <f t="shared" si="14"/>
        <v>-7029282.4720206643</v>
      </c>
      <c r="H85" s="63">
        <f t="shared" si="15"/>
        <v>-5919395.765912137</v>
      </c>
      <c r="I85" s="63">
        <f t="shared" si="16"/>
        <v>2959697.8829560662</v>
      </c>
      <c r="J85" s="63">
        <f t="shared" si="1"/>
        <v>38846.034713798384</v>
      </c>
      <c r="K85" s="68">
        <f t="shared" si="2"/>
        <v>-388460.34713798203</v>
      </c>
      <c r="L85" s="63">
        <f t="shared" si="11"/>
        <v>-621536.55542077252</v>
      </c>
      <c r="M85" s="63">
        <f t="shared" si="12"/>
        <v>2338161.3275352935</v>
      </c>
      <c r="N85" s="64">
        <f t="shared" si="13"/>
        <v>1461350.8297095569</v>
      </c>
      <c r="O85" s="145">
        <f t="shared" si="10"/>
        <v>0.20999999999999938</v>
      </c>
    </row>
    <row r="86" spans="1:15" x14ac:dyDescent="0.2">
      <c r="A86" s="61">
        <v>46418</v>
      </c>
      <c r="B86" s="30" t="s">
        <v>147</v>
      </c>
      <c r="D86" s="63">
        <f t="shared" si="3"/>
        <v>8879093.6488682032</v>
      </c>
      <c r="E86" s="63">
        <f t="shared" si="0"/>
        <v>8879093.6488682032</v>
      </c>
      <c r="F86" s="124">
        <f t="shared" si="17"/>
        <v>184981.11768475422</v>
      </c>
      <c r="G86" s="63">
        <f t="shared" si="14"/>
        <v>-7214263.5897054188</v>
      </c>
      <c r="H86" s="63">
        <f t="shared" si="15"/>
        <v>-6104376.8835968925</v>
      </c>
      <c r="I86" s="63">
        <f t="shared" si="16"/>
        <v>2774716.7652713107</v>
      </c>
      <c r="J86" s="63">
        <f t="shared" si="1"/>
        <v>38846.034713798384</v>
      </c>
      <c r="K86" s="68">
        <f t="shared" si="2"/>
        <v>-349614.31242418365</v>
      </c>
      <c r="L86" s="63">
        <f t="shared" si="11"/>
        <v>-582690.52070697409</v>
      </c>
      <c r="M86" s="63">
        <f t="shared" si="12"/>
        <v>2192026.2445643367</v>
      </c>
      <c r="N86" s="64">
        <f t="shared" si="13"/>
        <v>1315215.7467386008</v>
      </c>
      <c r="O86" s="145">
        <f t="shared" si="10"/>
        <v>0.20999999999999935</v>
      </c>
    </row>
    <row r="87" spans="1:15" x14ac:dyDescent="0.2">
      <c r="A87" s="61">
        <v>46446</v>
      </c>
      <c r="B87" s="30" t="s">
        <v>147</v>
      </c>
      <c r="D87" s="63">
        <f t="shared" si="3"/>
        <v>8879093.6488682032</v>
      </c>
      <c r="E87" s="63">
        <f t="shared" si="0"/>
        <v>8879093.6488682032</v>
      </c>
      <c r="F87" s="124">
        <f t="shared" si="17"/>
        <v>184981.11768475422</v>
      </c>
      <c r="G87" s="63">
        <f t="shared" si="14"/>
        <v>-7399244.7073901733</v>
      </c>
      <c r="H87" s="63">
        <f t="shared" si="15"/>
        <v>-6289358.0012816461</v>
      </c>
      <c r="I87" s="63">
        <f t="shared" si="16"/>
        <v>2589735.6475865571</v>
      </c>
      <c r="J87" s="63">
        <f t="shared" si="1"/>
        <v>38846.034713798384</v>
      </c>
      <c r="K87" s="68">
        <f t="shared" si="2"/>
        <v>-310768.27771038527</v>
      </c>
      <c r="L87" s="63">
        <f t="shared" si="11"/>
        <v>-543844.48599317565</v>
      </c>
      <c r="M87" s="63">
        <f t="shared" si="12"/>
        <v>2045891.1615933813</v>
      </c>
      <c r="N87" s="64">
        <f t="shared" si="13"/>
        <v>1169080.6637676447</v>
      </c>
      <c r="O87" s="145">
        <f t="shared" si="10"/>
        <v>0.20999999999999933</v>
      </c>
    </row>
    <row r="88" spans="1:15" x14ac:dyDescent="0.2">
      <c r="A88" s="61">
        <v>46477</v>
      </c>
      <c r="B88" s="30" t="s">
        <v>147</v>
      </c>
      <c r="D88" s="63">
        <f t="shared" si="3"/>
        <v>8879093.6488682032</v>
      </c>
      <c r="E88" s="63">
        <f t="shared" ref="E88:E95" si="18">(D76+D88+SUM(D77:D87)*2)/24</f>
        <v>8879093.6488682032</v>
      </c>
      <c r="F88" s="124">
        <f t="shared" si="17"/>
        <v>184981.11768475422</v>
      </c>
      <c r="G88" s="63">
        <f t="shared" si="14"/>
        <v>-7584225.8250749279</v>
      </c>
      <c r="H88" s="63">
        <f t="shared" si="15"/>
        <v>-6474339.1189664006</v>
      </c>
      <c r="I88" s="63">
        <f t="shared" si="16"/>
        <v>2404754.5299018025</v>
      </c>
      <c r="J88" s="63">
        <f t="shared" ref="J88:J95" si="19">(-C88*0.21)+(F88*0.21)</f>
        <v>38846.034713798384</v>
      </c>
      <c r="K88" s="68">
        <f t="shared" ref="K88:K95" si="20">K87+J88</f>
        <v>-271922.24299658689</v>
      </c>
      <c r="L88" s="63">
        <f t="shared" si="11"/>
        <v>-504998.45127937727</v>
      </c>
      <c r="M88" s="63">
        <f t="shared" si="12"/>
        <v>1899756.0786224252</v>
      </c>
      <c r="N88" s="64">
        <f t="shared" si="13"/>
        <v>1022945.5807966883</v>
      </c>
      <c r="O88" s="145">
        <f t="shared" si="10"/>
        <v>0.2099999999999993</v>
      </c>
    </row>
    <row r="89" spans="1:15" x14ac:dyDescent="0.2">
      <c r="A89" s="61">
        <v>46507</v>
      </c>
      <c r="B89" s="30" t="s">
        <v>147</v>
      </c>
      <c r="D89" s="63">
        <f t="shared" ref="D89:D95" si="21">D88+C89</f>
        <v>8879093.6488682032</v>
      </c>
      <c r="E89" s="63">
        <f t="shared" si="18"/>
        <v>8879093.6488682032</v>
      </c>
      <c r="F89" s="124">
        <f t="shared" si="17"/>
        <v>184981.11768475422</v>
      </c>
      <c r="G89" s="63">
        <f t="shared" si="14"/>
        <v>-7769206.9427596824</v>
      </c>
      <c r="H89" s="63">
        <f t="shared" si="15"/>
        <v>-6659320.2366511552</v>
      </c>
      <c r="I89" s="63">
        <f t="shared" si="16"/>
        <v>2219773.412217048</v>
      </c>
      <c r="J89" s="63">
        <f t="shared" si="19"/>
        <v>38846.034713798384</v>
      </c>
      <c r="K89" s="68">
        <f t="shared" si="20"/>
        <v>-233076.20828278852</v>
      </c>
      <c r="L89" s="63">
        <f t="shared" si="11"/>
        <v>-466152.4165655789</v>
      </c>
      <c r="M89" s="63">
        <f t="shared" si="12"/>
        <v>1753620.9956514691</v>
      </c>
      <c r="N89" s="64">
        <f t="shared" si="13"/>
        <v>876810.49782573222</v>
      </c>
      <c r="O89" s="145">
        <f t="shared" si="10"/>
        <v>0.20999999999999924</v>
      </c>
    </row>
    <row r="90" spans="1:15" x14ac:dyDescent="0.2">
      <c r="A90" s="61">
        <v>46538</v>
      </c>
      <c r="B90" s="30" t="s">
        <v>147</v>
      </c>
      <c r="D90" s="63">
        <f t="shared" si="21"/>
        <v>8879093.6488682032</v>
      </c>
      <c r="E90" s="63">
        <f t="shared" si="18"/>
        <v>8879093.6488682032</v>
      </c>
      <c r="F90" s="124">
        <f t="shared" si="17"/>
        <v>184981.11768475422</v>
      </c>
      <c r="G90" s="63">
        <f t="shared" si="14"/>
        <v>-7954188.060444437</v>
      </c>
      <c r="H90" s="63">
        <f t="shared" si="15"/>
        <v>-6844301.3543359088</v>
      </c>
      <c r="I90" s="63">
        <f t="shared" si="16"/>
        <v>2034792.2945322944</v>
      </c>
      <c r="J90" s="63">
        <f t="shared" si="19"/>
        <v>38846.034713798384</v>
      </c>
      <c r="K90" s="68">
        <f t="shared" si="20"/>
        <v>-194230.17356899014</v>
      </c>
      <c r="L90" s="63">
        <f t="shared" si="11"/>
        <v>-427306.3818517804</v>
      </c>
      <c r="M90" s="63">
        <f t="shared" si="12"/>
        <v>1607485.9126805139</v>
      </c>
      <c r="N90" s="64">
        <f t="shared" si="13"/>
        <v>730675.41485477611</v>
      </c>
      <c r="O90" s="145">
        <f t="shared" si="10"/>
        <v>0.20999999999999919</v>
      </c>
    </row>
    <row r="91" spans="1:15" x14ac:dyDescent="0.2">
      <c r="A91" s="61">
        <v>46568</v>
      </c>
      <c r="B91" s="30" t="s">
        <v>147</v>
      </c>
      <c r="D91" s="63">
        <f t="shared" si="21"/>
        <v>8879093.6488682032</v>
      </c>
      <c r="E91" s="63">
        <f t="shared" si="18"/>
        <v>8879093.6488682032</v>
      </c>
      <c r="F91" s="124">
        <f t="shared" si="17"/>
        <v>184981.11768475422</v>
      </c>
      <c r="G91" s="63">
        <f t="shared" si="14"/>
        <v>-8139169.1781291915</v>
      </c>
      <c r="H91" s="63">
        <f t="shared" si="15"/>
        <v>-7029282.4720206643</v>
      </c>
      <c r="I91" s="63">
        <f t="shared" si="16"/>
        <v>1849811.1768475389</v>
      </c>
      <c r="J91" s="63">
        <f t="shared" si="19"/>
        <v>38846.034713798384</v>
      </c>
      <c r="K91" s="68">
        <f t="shared" si="20"/>
        <v>-155384.13885519176</v>
      </c>
      <c r="L91" s="63">
        <f t="shared" si="11"/>
        <v>-388460.34713798203</v>
      </c>
      <c r="M91" s="63">
        <f t="shared" si="12"/>
        <v>1461350.8297095569</v>
      </c>
      <c r="N91" s="64">
        <f t="shared" si="13"/>
        <v>584540.33188381989</v>
      </c>
      <c r="O91" s="145">
        <f t="shared" ref="O91:O94" si="22">-K91/(D91+G91)</f>
        <v>0.20999999999999908</v>
      </c>
    </row>
    <row r="92" spans="1:15" x14ac:dyDescent="0.2">
      <c r="A92" s="61">
        <v>46599</v>
      </c>
      <c r="B92" s="30" t="s">
        <v>147</v>
      </c>
      <c r="D92" s="63">
        <f t="shared" si="21"/>
        <v>8879093.6488682032</v>
      </c>
      <c r="E92" s="63">
        <f t="shared" si="18"/>
        <v>8879093.6488682032</v>
      </c>
      <c r="F92" s="124">
        <f t="shared" si="17"/>
        <v>184981.11768475422</v>
      </c>
      <c r="G92" s="63">
        <f t="shared" si="14"/>
        <v>-8324150.2958139461</v>
      </c>
      <c r="H92" s="63">
        <f t="shared" si="15"/>
        <v>-7214263.5897054197</v>
      </c>
      <c r="I92" s="63">
        <f t="shared" si="16"/>
        <v>1664830.0591627834</v>
      </c>
      <c r="J92" s="63">
        <f t="shared" si="19"/>
        <v>38846.034713798384</v>
      </c>
      <c r="K92" s="68">
        <f t="shared" si="20"/>
        <v>-116538.10414139339</v>
      </c>
      <c r="L92" s="63">
        <f t="shared" si="11"/>
        <v>-349614.31242418365</v>
      </c>
      <c r="M92" s="63">
        <f t="shared" si="12"/>
        <v>1315215.7467385998</v>
      </c>
      <c r="N92" s="64">
        <f t="shared" si="13"/>
        <v>438405.24891286372</v>
      </c>
      <c r="O92" s="145">
        <f t="shared" si="22"/>
        <v>0.20999999999999891</v>
      </c>
    </row>
    <row r="93" spans="1:15" x14ac:dyDescent="0.2">
      <c r="A93" s="61">
        <v>46630</v>
      </c>
      <c r="B93" s="30" t="s">
        <v>147</v>
      </c>
      <c r="D93" s="63">
        <f t="shared" si="21"/>
        <v>8879093.6488682032</v>
      </c>
      <c r="E93" s="63">
        <f t="shared" si="18"/>
        <v>8879093.6488682032</v>
      </c>
      <c r="F93" s="124">
        <f t="shared" si="17"/>
        <v>184981.11768475422</v>
      </c>
      <c r="G93" s="63">
        <f t="shared" si="14"/>
        <v>-8509131.4134986997</v>
      </c>
      <c r="H93" s="63">
        <f t="shared" si="15"/>
        <v>-7399244.7073901743</v>
      </c>
      <c r="I93" s="63">
        <f t="shared" si="16"/>
        <v>1479848.9414780289</v>
      </c>
      <c r="J93" s="63">
        <f t="shared" si="19"/>
        <v>38846.034713798384</v>
      </c>
      <c r="K93" s="68">
        <f t="shared" si="20"/>
        <v>-77692.069427595008</v>
      </c>
      <c r="L93" s="63">
        <f t="shared" si="11"/>
        <v>-310768.27771038521</v>
      </c>
      <c r="M93" s="63">
        <f t="shared" si="12"/>
        <v>1169080.6637676437</v>
      </c>
      <c r="N93" s="64">
        <f t="shared" si="13"/>
        <v>292270.16594190849</v>
      </c>
      <c r="O93" s="145">
        <f t="shared" si="22"/>
        <v>0.20999999999999805</v>
      </c>
    </row>
    <row r="94" spans="1:15" x14ac:dyDescent="0.2">
      <c r="A94" s="61">
        <v>46660</v>
      </c>
      <c r="B94" s="30" t="s">
        <v>147</v>
      </c>
      <c r="D94" s="63">
        <f t="shared" si="21"/>
        <v>8879093.6488682032</v>
      </c>
      <c r="E94" s="63">
        <f t="shared" si="18"/>
        <v>8879093.6488682032</v>
      </c>
      <c r="F94" s="124">
        <f t="shared" si="17"/>
        <v>184981.11768475422</v>
      </c>
      <c r="G94" s="63">
        <f t="shared" si="14"/>
        <v>-8694112.5311834533</v>
      </c>
      <c r="H94" s="63">
        <f t="shared" si="15"/>
        <v>-7584225.825074927</v>
      </c>
      <c r="I94" s="63">
        <f t="shared" si="16"/>
        <v>1294867.8237932762</v>
      </c>
      <c r="J94" s="63">
        <f t="shared" si="19"/>
        <v>38846.034713798384</v>
      </c>
      <c r="K94" s="68">
        <f t="shared" si="20"/>
        <v>-38846.034713796624</v>
      </c>
      <c r="L94" s="63">
        <f t="shared" si="11"/>
        <v>-271922.24299658689</v>
      </c>
      <c r="M94" s="63">
        <f t="shared" si="12"/>
        <v>1022945.5807966893</v>
      </c>
      <c r="N94" s="64">
        <f t="shared" si="13"/>
        <v>146135.08297095326</v>
      </c>
      <c r="O94" s="145">
        <f t="shared" si="22"/>
        <v>0.20999999999999538</v>
      </c>
    </row>
    <row r="95" spans="1:15" ht="13.5" thickBot="1" x14ac:dyDescent="0.25">
      <c r="A95" s="61">
        <v>46691</v>
      </c>
      <c r="B95" s="30" t="s">
        <v>147</v>
      </c>
      <c r="D95" s="63">
        <f t="shared" si="21"/>
        <v>8879093.6488682032</v>
      </c>
      <c r="E95" s="63">
        <f t="shared" si="18"/>
        <v>8879093.6488682032</v>
      </c>
      <c r="F95" s="124">
        <f t="shared" si="17"/>
        <v>184981.11768475422</v>
      </c>
      <c r="G95" s="63">
        <f t="shared" si="14"/>
        <v>-8879093.6488682069</v>
      </c>
      <c r="H95" s="63">
        <f t="shared" si="15"/>
        <v>-7769206.9427596815</v>
      </c>
      <c r="I95" s="63">
        <f t="shared" si="16"/>
        <v>1109886.7061085217</v>
      </c>
      <c r="J95" s="63">
        <f t="shared" si="19"/>
        <v>38846.034713798384</v>
      </c>
      <c r="K95" s="68">
        <f t="shared" si="20"/>
        <v>1.7607817426323891E-9</v>
      </c>
      <c r="L95" s="63">
        <f t="shared" si="11"/>
        <v>-233076.20828278852</v>
      </c>
      <c r="M95" s="63">
        <f t="shared" si="12"/>
        <v>876810.49782573315</v>
      </c>
      <c r="N95" s="64">
        <f t="shared" si="13"/>
        <v>-1.964508555829525E-9</v>
      </c>
      <c r="O95" s="145"/>
    </row>
    <row r="96" spans="1:15" x14ac:dyDescent="0.2">
      <c r="A96" s="134">
        <v>46721</v>
      </c>
      <c r="B96" s="141" t="s">
        <v>148</v>
      </c>
      <c r="C96" s="141"/>
      <c r="D96" s="136">
        <f t="shared" ref="D96:D98" si="23">D95+C96</f>
        <v>8879093.6488682032</v>
      </c>
      <c r="E96" s="136">
        <f t="shared" ref="E96:E98" si="24">(D84+D96+SUM(D85:D95)*2)/24</f>
        <v>8879093.6488682032</v>
      </c>
      <c r="F96" s="137"/>
      <c r="G96" s="136">
        <f t="shared" ref="G96:G98" si="25">G95-F96</f>
        <v>-8879093.6488682069</v>
      </c>
      <c r="H96" s="136">
        <f t="shared" ref="H96:H98" si="26">(G84+G96+SUM(G85:G95)*2)/24</f>
        <v>-7946480.5138742374</v>
      </c>
      <c r="I96" s="136">
        <f t="shared" ref="I96:I98" si="27">E96+H96</f>
        <v>932613.13499396574</v>
      </c>
      <c r="J96" s="136">
        <f t="shared" ref="J96:J98" si="28">(-C96*0.21)+(F96*0.21)</f>
        <v>0</v>
      </c>
      <c r="K96" s="138">
        <f t="shared" ref="K96:K98" si="29">K95+J96</f>
        <v>1.7607817426323891E-9</v>
      </c>
      <c r="L96" s="136">
        <f t="shared" ref="L96:L98" si="30">(K84+K96+SUM(K85:K95)*2)/24</f>
        <v>-195848.7583487317</v>
      </c>
      <c r="M96" s="136">
        <f t="shared" ref="M96:M98" si="31">L96+I96</f>
        <v>736764.37664523406</v>
      </c>
      <c r="N96" s="140">
        <f t="shared" ref="N96:N98" si="32">+D96+G96+K96</f>
        <v>-1.964508555829525E-9</v>
      </c>
      <c r="O96" s="145"/>
    </row>
    <row r="97" spans="1:15" x14ac:dyDescent="0.2">
      <c r="A97" s="61">
        <v>46752</v>
      </c>
      <c r="B97" s="30" t="s">
        <v>148</v>
      </c>
      <c r="D97" s="63">
        <f t="shared" si="23"/>
        <v>8879093.6488682032</v>
      </c>
      <c r="E97" s="63">
        <f t="shared" si="24"/>
        <v>8879093.6488682032</v>
      </c>
      <c r="F97" s="124"/>
      <c r="G97" s="63">
        <f t="shared" si="25"/>
        <v>-8879093.6488682069</v>
      </c>
      <c r="H97" s="63">
        <f t="shared" si="26"/>
        <v>-8108338.991848398</v>
      </c>
      <c r="I97" s="63">
        <f t="shared" si="27"/>
        <v>770754.65701980516</v>
      </c>
      <c r="J97" s="63">
        <f t="shared" si="28"/>
        <v>0</v>
      </c>
      <c r="K97" s="68">
        <f t="shared" si="29"/>
        <v>1.7607817426323891E-9</v>
      </c>
      <c r="L97" s="63">
        <f t="shared" si="30"/>
        <v>-161858.47797415813</v>
      </c>
      <c r="M97" s="63">
        <f t="shared" si="31"/>
        <v>608896.17904564703</v>
      </c>
      <c r="N97" s="64">
        <f t="shared" si="32"/>
        <v>-1.964508555829525E-9</v>
      </c>
      <c r="O97" s="145"/>
    </row>
    <row r="98" spans="1:15" x14ac:dyDescent="0.2">
      <c r="A98" s="61">
        <v>46783</v>
      </c>
      <c r="B98" s="30" t="s">
        <v>148</v>
      </c>
      <c r="D98" s="63">
        <f t="shared" si="23"/>
        <v>8879093.6488682032</v>
      </c>
      <c r="E98" s="63">
        <f t="shared" si="24"/>
        <v>8879093.6488682032</v>
      </c>
      <c r="F98" s="124"/>
      <c r="G98" s="63">
        <f t="shared" si="25"/>
        <v>-8879093.6488682069</v>
      </c>
      <c r="H98" s="63">
        <f t="shared" si="26"/>
        <v>-8254782.3766821623</v>
      </c>
      <c r="I98" s="63">
        <f t="shared" si="27"/>
        <v>624311.27218604088</v>
      </c>
      <c r="J98" s="63">
        <f t="shared" si="28"/>
        <v>0</v>
      </c>
      <c r="K98" s="68">
        <f t="shared" si="29"/>
        <v>1.7607817426323891E-9</v>
      </c>
      <c r="L98" s="63">
        <f t="shared" si="30"/>
        <v>-131105.36715906774</v>
      </c>
      <c r="M98" s="63">
        <f t="shared" si="31"/>
        <v>493205.90502697311</v>
      </c>
      <c r="N98" s="64">
        <f t="shared" si="32"/>
        <v>-1.964508555829525E-9</v>
      </c>
      <c r="O98" s="145"/>
    </row>
    <row r="99" spans="1:15" x14ac:dyDescent="0.2">
      <c r="A99" s="61">
        <v>46812</v>
      </c>
      <c r="B99" s="30" t="s">
        <v>148</v>
      </c>
      <c r="D99" s="63">
        <f t="shared" ref="D99:D107" si="33">D98+C99</f>
        <v>8879093.6488682032</v>
      </c>
      <c r="E99" s="63">
        <f t="shared" ref="E99:E107" si="34">(D87+D99+SUM(D88:D98)*2)/24</f>
        <v>8879093.6488682032</v>
      </c>
      <c r="F99" s="124"/>
      <c r="G99" s="63">
        <f t="shared" ref="G99:G107" si="35">G98-F99</f>
        <v>-8879093.6488682069</v>
      </c>
      <c r="H99" s="63">
        <f t="shared" ref="H99:H107" si="36">(G87+G99+SUM(G88:G98)*2)/24</f>
        <v>-8385810.6683755293</v>
      </c>
      <c r="I99" s="63">
        <f t="shared" ref="I99:I107" si="37">E99+H99</f>
        <v>493282.98049267381</v>
      </c>
      <c r="J99" s="63">
        <f t="shared" ref="J99:J107" si="38">(-C99*0.21)+(F99*0.21)</f>
        <v>0</v>
      </c>
      <c r="K99" s="68">
        <f t="shared" ref="K99:K107" si="39">K98+J99</f>
        <v>1.7607817426323891E-9</v>
      </c>
      <c r="L99" s="63">
        <f t="shared" ref="L99:L107" si="40">(K87+K99+SUM(K88:K98)*2)/24</f>
        <v>-103589.42590346055</v>
      </c>
      <c r="M99" s="63">
        <f t="shared" ref="M99:M107" si="41">L99+I99</f>
        <v>389693.55458921328</v>
      </c>
      <c r="N99" s="64">
        <f t="shared" ref="N99:N107" si="42">+D99+G99+K99</f>
        <v>-1.964508555829525E-9</v>
      </c>
      <c r="O99" s="145"/>
    </row>
    <row r="100" spans="1:15" x14ac:dyDescent="0.2">
      <c r="A100" s="61">
        <v>46843</v>
      </c>
      <c r="B100" s="30" t="s">
        <v>148</v>
      </c>
      <c r="D100" s="63">
        <f t="shared" si="33"/>
        <v>8879093.6488682032</v>
      </c>
      <c r="E100" s="63">
        <f t="shared" si="34"/>
        <v>8879093.6488682032</v>
      </c>
      <c r="F100" s="124"/>
      <c r="G100" s="63">
        <f t="shared" si="35"/>
        <v>-8879093.6488682069</v>
      </c>
      <c r="H100" s="63">
        <f t="shared" si="36"/>
        <v>-8501423.8669285011</v>
      </c>
      <c r="I100" s="63">
        <f t="shared" si="37"/>
        <v>377669.78193970211</v>
      </c>
      <c r="J100" s="63">
        <f t="shared" si="38"/>
        <v>0</v>
      </c>
      <c r="K100" s="68">
        <f t="shared" si="39"/>
        <v>1.7607817426323891E-9</v>
      </c>
      <c r="L100" s="63">
        <f t="shared" si="40"/>
        <v>-79310.654207336614</v>
      </c>
      <c r="M100" s="63">
        <f t="shared" si="41"/>
        <v>298359.12773236551</v>
      </c>
      <c r="N100" s="64">
        <f t="shared" si="42"/>
        <v>-1.964508555829525E-9</v>
      </c>
      <c r="O100" s="145"/>
    </row>
    <row r="101" spans="1:15" x14ac:dyDescent="0.2">
      <c r="A101" s="61">
        <v>46873</v>
      </c>
      <c r="B101" s="30" t="s">
        <v>148</v>
      </c>
      <c r="D101" s="63">
        <f t="shared" si="33"/>
        <v>8879093.6488682032</v>
      </c>
      <c r="E101" s="63">
        <f t="shared" si="34"/>
        <v>8879093.6488682032</v>
      </c>
      <c r="F101" s="124"/>
      <c r="G101" s="63">
        <f t="shared" si="35"/>
        <v>-8879093.6488682069</v>
      </c>
      <c r="H101" s="63">
        <f t="shared" si="36"/>
        <v>-8601621.9723410737</v>
      </c>
      <c r="I101" s="63">
        <f t="shared" si="37"/>
        <v>277471.67652712949</v>
      </c>
      <c r="J101" s="63">
        <f t="shared" si="38"/>
        <v>0</v>
      </c>
      <c r="K101" s="68">
        <f t="shared" si="39"/>
        <v>1.7607817426323891E-9</v>
      </c>
      <c r="L101" s="63">
        <f t="shared" si="40"/>
        <v>-58269.052070695812</v>
      </c>
      <c r="M101" s="63">
        <f t="shared" si="41"/>
        <v>219202.62445643367</v>
      </c>
      <c r="N101" s="64">
        <f t="shared" si="42"/>
        <v>-1.964508555829525E-9</v>
      </c>
      <c r="O101" s="145"/>
    </row>
    <row r="102" spans="1:15" x14ac:dyDescent="0.2">
      <c r="A102" s="61">
        <v>46904</v>
      </c>
      <c r="B102" s="30" t="s">
        <v>148</v>
      </c>
      <c r="D102" s="63">
        <f t="shared" si="33"/>
        <v>8879093.6488682032</v>
      </c>
      <c r="E102" s="63">
        <f t="shared" si="34"/>
        <v>8879093.6488682032</v>
      </c>
      <c r="F102" s="124"/>
      <c r="G102" s="63">
        <f t="shared" si="35"/>
        <v>-8879093.6488682069</v>
      </c>
      <c r="H102" s="63">
        <f t="shared" si="36"/>
        <v>-8686404.9846132528</v>
      </c>
      <c r="I102" s="63">
        <f t="shared" si="37"/>
        <v>192688.66425495036</v>
      </c>
      <c r="J102" s="63">
        <f t="shared" si="38"/>
        <v>0</v>
      </c>
      <c r="K102" s="68">
        <f t="shared" si="39"/>
        <v>1.7607817426323891E-9</v>
      </c>
      <c r="L102" s="63">
        <f t="shared" si="40"/>
        <v>-40464.61949353823</v>
      </c>
      <c r="M102" s="63">
        <f t="shared" si="41"/>
        <v>152224.04476141214</v>
      </c>
      <c r="N102" s="64">
        <f t="shared" si="42"/>
        <v>-1.964508555829525E-9</v>
      </c>
      <c r="O102" s="145"/>
    </row>
    <row r="103" spans="1:15" x14ac:dyDescent="0.2">
      <c r="A103" s="61">
        <v>46934</v>
      </c>
      <c r="B103" s="30" t="s">
        <v>148</v>
      </c>
      <c r="D103" s="63">
        <f t="shared" si="33"/>
        <v>8879093.6488682032</v>
      </c>
      <c r="E103" s="63">
        <f t="shared" si="34"/>
        <v>8879093.6488682032</v>
      </c>
      <c r="F103" s="124"/>
      <c r="G103" s="63">
        <f t="shared" si="35"/>
        <v>-8879093.6488682069</v>
      </c>
      <c r="H103" s="63">
        <f t="shared" si="36"/>
        <v>-8755772.9037450347</v>
      </c>
      <c r="I103" s="63">
        <f t="shared" si="37"/>
        <v>123320.74512316845</v>
      </c>
      <c r="J103" s="63">
        <f t="shared" si="38"/>
        <v>0</v>
      </c>
      <c r="K103" s="68">
        <f t="shared" si="39"/>
        <v>1.7607817426323891E-9</v>
      </c>
      <c r="L103" s="63">
        <f t="shared" si="40"/>
        <v>-25897.356475863839</v>
      </c>
      <c r="M103" s="63">
        <f t="shared" si="41"/>
        <v>97423.388647304615</v>
      </c>
      <c r="N103" s="64">
        <f t="shared" si="42"/>
        <v>-1.964508555829525E-9</v>
      </c>
      <c r="O103" s="145"/>
    </row>
    <row r="104" spans="1:15" x14ac:dyDescent="0.2">
      <c r="A104" s="61">
        <v>46965</v>
      </c>
      <c r="B104" s="30" t="s">
        <v>148</v>
      </c>
      <c r="D104" s="63">
        <f t="shared" si="33"/>
        <v>8879093.6488682032</v>
      </c>
      <c r="E104" s="63">
        <f t="shared" si="34"/>
        <v>8879093.6488682032</v>
      </c>
      <c r="F104" s="124"/>
      <c r="G104" s="63">
        <f t="shared" si="35"/>
        <v>-8879093.6488682069</v>
      </c>
      <c r="H104" s="63">
        <f t="shared" si="36"/>
        <v>-8809725.7297364231</v>
      </c>
      <c r="I104" s="63">
        <f t="shared" si="37"/>
        <v>69367.919131780043</v>
      </c>
      <c r="J104" s="63">
        <f t="shared" si="38"/>
        <v>0</v>
      </c>
      <c r="K104" s="68">
        <f t="shared" si="39"/>
        <v>1.7607817426323891E-9</v>
      </c>
      <c r="L104" s="63">
        <f t="shared" si="40"/>
        <v>-14567.263017672632</v>
      </c>
      <c r="M104" s="63">
        <f t="shared" si="41"/>
        <v>54800.656114107413</v>
      </c>
      <c r="N104" s="64">
        <f t="shared" si="42"/>
        <v>-1.964508555829525E-9</v>
      </c>
      <c r="O104" s="145"/>
    </row>
    <row r="105" spans="1:15" x14ac:dyDescent="0.2">
      <c r="A105" s="61">
        <v>46996</v>
      </c>
      <c r="B105" s="30" t="s">
        <v>148</v>
      </c>
      <c r="D105" s="63">
        <f t="shared" si="33"/>
        <v>8879093.6488682032</v>
      </c>
      <c r="E105" s="63">
        <f t="shared" si="34"/>
        <v>8879093.6488682032</v>
      </c>
      <c r="F105" s="124"/>
      <c r="G105" s="63">
        <f t="shared" si="35"/>
        <v>-8879093.6488682069</v>
      </c>
      <c r="H105" s="63">
        <f t="shared" si="36"/>
        <v>-8848263.4625874124</v>
      </c>
      <c r="I105" s="63">
        <f t="shared" si="37"/>
        <v>30830.186280790716</v>
      </c>
      <c r="J105" s="63">
        <f t="shared" si="38"/>
        <v>0</v>
      </c>
      <c r="K105" s="68">
        <f t="shared" si="39"/>
        <v>1.7607817426323891E-9</v>
      </c>
      <c r="L105" s="63">
        <f t="shared" si="40"/>
        <v>-6474.3391189646363</v>
      </c>
      <c r="M105" s="63">
        <f t="shared" si="41"/>
        <v>24355.847161826081</v>
      </c>
      <c r="N105" s="64">
        <f t="shared" si="42"/>
        <v>-1.964508555829525E-9</v>
      </c>
      <c r="O105" s="145"/>
    </row>
    <row r="106" spans="1:15" x14ac:dyDescent="0.2">
      <c r="A106" s="61">
        <v>47026</v>
      </c>
      <c r="B106" s="30" t="s">
        <v>148</v>
      </c>
      <c r="D106" s="63">
        <f t="shared" si="33"/>
        <v>8879093.6488682032</v>
      </c>
      <c r="E106" s="63">
        <f t="shared" si="34"/>
        <v>8879093.6488682032</v>
      </c>
      <c r="F106" s="124"/>
      <c r="G106" s="63">
        <f t="shared" si="35"/>
        <v>-8879093.6488682069</v>
      </c>
      <c r="H106" s="63">
        <f t="shared" si="36"/>
        <v>-8871386.1022980064</v>
      </c>
      <c r="I106" s="63">
        <f t="shared" si="37"/>
        <v>7707.5465701967478</v>
      </c>
      <c r="J106" s="63">
        <f t="shared" si="38"/>
        <v>0</v>
      </c>
      <c r="K106" s="68">
        <f t="shared" si="39"/>
        <v>1.7607817426323891E-9</v>
      </c>
      <c r="L106" s="63">
        <f t="shared" si="40"/>
        <v>-1618.5847797398385</v>
      </c>
      <c r="M106" s="63">
        <f t="shared" si="41"/>
        <v>6088.9617904569095</v>
      </c>
      <c r="N106" s="64">
        <f t="shared" si="42"/>
        <v>-1.964508555829525E-9</v>
      </c>
      <c r="O106" s="145"/>
    </row>
    <row r="107" spans="1:15" x14ac:dyDescent="0.2">
      <c r="A107" s="70">
        <v>47057</v>
      </c>
      <c r="B107" s="71" t="s">
        <v>148</v>
      </c>
      <c r="C107" s="71"/>
      <c r="D107" s="72">
        <f t="shared" si="33"/>
        <v>8879093.6488682032</v>
      </c>
      <c r="E107" s="72">
        <f t="shared" si="34"/>
        <v>8879093.6488682032</v>
      </c>
      <c r="F107" s="125"/>
      <c r="G107" s="72">
        <f t="shared" si="35"/>
        <v>-8879093.6488682069</v>
      </c>
      <c r="H107" s="72">
        <f t="shared" si="36"/>
        <v>-8879093.648868205</v>
      </c>
      <c r="I107" s="72">
        <f t="shared" si="37"/>
        <v>0</v>
      </c>
      <c r="J107" s="72">
        <f t="shared" si="38"/>
        <v>0</v>
      </c>
      <c r="K107" s="73">
        <f t="shared" si="39"/>
        <v>1.7607817426323891E-9</v>
      </c>
      <c r="L107" s="72">
        <f t="shared" si="40"/>
        <v>1.7607817426323891E-9</v>
      </c>
      <c r="M107" s="72">
        <f t="shared" si="41"/>
        <v>1.7607817426323891E-9</v>
      </c>
      <c r="N107" s="74">
        <f t="shared" si="42"/>
        <v>-1.964508555829525E-9</v>
      </c>
      <c r="O107" s="145"/>
    </row>
    <row r="110" spans="1:15" x14ac:dyDescent="0.2">
      <c r="A110" s="30" t="s">
        <v>185</v>
      </c>
      <c r="F110" s="130">
        <f>SUM(F48:F59)</f>
        <v>2219773.4122170513</v>
      </c>
    </row>
  </sheetData>
  <printOptions horizontalCentered="1"/>
  <pageMargins left="0.2" right="0.2" top="0.25" bottom="0.5" header="0.3" footer="0.3"/>
  <pageSetup scale="75" firstPageNumber="4" fitToHeight="0" orientation="landscape" useFirstPageNumber="1" r:id="rId1"/>
  <headerFooter>
    <oddFooter>&amp;R&amp;"Times New Roman,Regular"Exh. SEF-3 page &amp;P of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0"/>
  <sheetViews>
    <sheetView workbookViewId="0">
      <pane xSplit="1" ySplit="9" topLeftCell="B33" activePane="bottomRight" state="frozen"/>
      <selection activeCell="C35" sqref="C35"/>
      <selection pane="topRight" activeCell="C35" sqref="C35"/>
      <selection pane="bottomLeft" activeCell="C35" sqref="C35"/>
      <selection pane="bottomRight" activeCell="F48" sqref="F48"/>
    </sheetView>
  </sheetViews>
  <sheetFormatPr defaultColWidth="9.140625" defaultRowHeight="12.75" outlineLevelRow="1" x14ac:dyDescent="0.2"/>
  <cols>
    <col min="1" max="1" width="10.5703125" style="30" customWidth="1"/>
    <col min="2" max="2" width="8.85546875" style="66" bestFit="1" customWidth="1"/>
    <col min="3" max="3" width="14.7109375" style="66" bestFit="1" customWidth="1"/>
    <col min="4" max="4" width="11.28515625" style="66" bestFit="1" customWidth="1"/>
    <col min="5" max="5" width="13.7109375" style="66" customWidth="1"/>
    <col min="6" max="6" width="12.5703125" style="66" bestFit="1" customWidth="1"/>
    <col min="7" max="7" width="16.140625" style="66" bestFit="1" customWidth="1"/>
    <col min="8" max="8" width="12.140625" style="66" bestFit="1" customWidth="1"/>
    <col min="9" max="9" width="11.42578125" style="66" bestFit="1" customWidth="1"/>
    <col min="10" max="10" width="15" style="66" bestFit="1" customWidth="1"/>
    <col min="11" max="11" width="16.7109375" style="66" bestFit="1" customWidth="1"/>
    <col min="12" max="12" width="11.28515625" style="66" bestFit="1" customWidth="1"/>
    <col min="13" max="13" width="11.42578125" style="66" bestFit="1" customWidth="1"/>
    <col min="14" max="14" width="11.140625" style="66" bestFit="1" customWidth="1"/>
    <col min="15" max="15" width="10" style="30" customWidth="1"/>
    <col min="16" max="16384" width="9.140625" style="30"/>
  </cols>
  <sheetData>
    <row r="1" spans="1:17" x14ac:dyDescent="0.2">
      <c r="A1" s="27" t="s">
        <v>43</v>
      </c>
      <c r="B1" s="28"/>
      <c r="C1" s="28"/>
      <c r="D1" s="28"/>
      <c r="E1" s="28"/>
      <c r="F1" s="28"/>
      <c r="G1" s="28"/>
      <c r="H1" s="28"/>
      <c r="I1" s="28"/>
      <c r="J1" s="29"/>
      <c r="K1" s="29"/>
      <c r="L1" s="29"/>
      <c r="M1" s="29"/>
      <c r="N1" s="30"/>
    </row>
    <row r="2" spans="1:17" x14ac:dyDescent="0.2">
      <c r="A2" s="27" t="s">
        <v>44</v>
      </c>
      <c r="B2" s="28"/>
      <c r="C2" s="28"/>
      <c r="D2" s="28"/>
      <c r="E2" s="28"/>
      <c r="F2" s="28"/>
      <c r="G2" s="28"/>
      <c r="H2" s="28"/>
      <c r="I2" s="28"/>
      <c r="J2" s="29"/>
      <c r="K2" s="29"/>
      <c r="L2" s="29"/>
      <c r="M2" s="29"/>
      <c r="N2" s="29"/>
      <c r="O2" s="29"/>
      <c r="P2" s="29"/>
      <c r="Q2" s="29"/>
    </row>
    <row r="3" spans="1:17" x14ac:dyDescent="0.2">
      <c r="A3" s="27" t="s">
        <v>45</v>
      </c>
      <c r="B3" s="28"/>
      <c r="C3" s="28"/>
      <c r="D3" s="28"/>
      <c r="E3" s="28"/>
      <c r="F3" s="28"/>
      <c r="G3" s="28"/>
      <c r="H3" s="28"/>
      <c r="I3" s="28"/>
      <c r="J3" s="29"/>
      <c r="K3" s="29"/>
      <c r="L3" s="29"/>
      <c r="M3" s="29"/>
      <c r="N3" s="30"/>
    </row>
    <row r="4" spans="1:17" x14ac:dyDescent="0.2">
      <c r="A4" s="28"/>
      <c r="B4" s="28"/>
      <c r="C4" s="31"/>
      <c r="D4" s="32"/>
      <c r="E4" s="33"/>
      <c r="F4" s="34"/>
      <c r="G4" s="34"/>
      <c r="H4" s="34"/>
      <c r="I4" s="34"/>
      <c r="J4" s="35"/>
      <c r="K4" s="36"/>
      <c r="L4" s="35"/>
      <c r="M4" s="35"/>
      <c r="N4" s="30"/>
    </row>
    <row r="5" spans="1:17" x14ac:dyDescent="0.2">
      <c r="A5" s="29"/>
      <c r="B5" s="29"/>
      <c r="C5" s="37" t="s">
        <v>46</v>
      </c>
      <c r="D5" s="38"/>
      <c r="E5" s="35"/>
      <c r="F5" s="39"/>
      <c r="G5" s="39"/>
      <c r="H5" s="39"/>
      <c r="I5" s="39"/>
      <c r="J5" s="40"/>
      <c r="K5" s="39"/>
      <c r="L5" s="39"/>
      <c r="M5" s="39"/>
      <c r="N5" s="30"/>
    </row>
    <row r="6" spans="1:17" x14ac:dyDescent="0.2">
      <c r="A6" s="41"/>
      <c r="B6" s="41"/>
      <c r="C6" s="42" t="s">
        <v>47</v>
      </c>
      <c r="D6" s="42" t="s">
        <v>48</v>
      </c>
      <c r="E6" s="42" t="s">
        <v>49</v>
      </c>
      <c r="F6" s="42" t="s">
        <v>50</v>
      </c>
      <c r="G6" s="42" t="s">
        <v>51</v>
      </c>
      <c r="H6" s="42" t="s">
        <v>52</v>
      </c>
      <c r="I6" s="42" t="s">
        <v>41</v>
      </c>
      <c r="J6" s="42" t="s">
        <v>50</v>
      </c>
      <c r="K6" s="42" t="s">
        <v>51</v>
      </c>
      <c r="L6" s="42" t="s">
        <v>53</v>
      </c>
      <c r="M6" s="43" t="s">
        <v>54</v>
      </c>
      <c r="N6" s="44" t="s">
        <v>48</v>
      </c>
    </row>
    <row r="7" spans="1:17" x14ac:dyDescent="0.2">
      <c r="A7" s="39" t="s">
        <v>55</v>
      </c>
      <c r="B7" s="45"/>
      <c r="C7" s="39" t="s">
        <v>56</v>
      </c>
      <c r="D7" s="39"/>
      <c r="E7" s="39" t="s">
        <v>48</v>
      </c>
      <c r="F7" s="39" t="s">
        <v>57</v>
      </c>
      <c r="G7" s="39" t="s">
        <v>57</v>
      </c>
      <c r="H7" s="39" t="s">
        <v>57</v>
      </c>
      <c r="I7" s="39" t="s">
        <v>58</v>
      </c>
      <c r="J7" s="39" t="s">
        <v>59</v>
      </c>
      <c r="K7" s="39" t="s">
        <v>59</v>
      </c>
      <c r="L7" s="39" t="s">
        <v>41</v>
      </c>
      <c r="M7" s="46" t="s">
        <v>53</v>
      </c>
      <c r="N7" s="47" t="s">
        <v>60</v>
      </c>
    </row>
    <row r="8" spans="1:17" x14ac:dyDescent="0.2">
      <c r="A8" s="39" t="s">
        <v>61</v>
      </c>
      <c r="B8" s="45"/>
      <c r="C8" s="39" t="s">
        <v>62</v>
      </c>
      <c r="D8" s="39" t="s">
        <v>63</v>
      </c>
      <c r="E8" s="39" t="s">
        <v>64</v>
      </c>
      <c r="F8" s="39" t="s">
        <v>65</v>
      </c>
      <c r="G8" s="48" t="s">
        <v>66</v>
      </c>
      <c r="H8" s="39" t="s">
        <v>67</v>
      </c>
      <c r="I8" s="39" t="s">
        <v>68</v>
      </c>
      <c r="J8" s="39" t="s">
        <v>69</v>
      </c>
      <c r="K8" s="39" t="s">
        <v>70</v>
      </c>
      <c r="L8" s="39" t="s">
        <v>71</v>
      </c>
      <c r="M8" s="46" t="s">
        <v>72</v>
      </c>
      <c r="N8" s="47" t="s">
        <v>73</v>
      </c>
    </row>
    <row r="9" spans="1:17" x14ac:dyDescent="0.2">
      <c r="A9" s="49"/>
      <c r="B9" s="49"/>
      <c r="C9" s="50"/>
      <c r="D9" s="50"/>
      <c r="E9" s="50"/>
      <c r="F9" s="51" t="s">
        <v>74</v>
      </c>
      <c r="G9" s="50"/>
      <c r="H9" s="50"/>
      <c r="I9" s="50"/>
      <c r="J9" s="50" t="s">
        <v>75</v>
      </c>
      <c r="K9" s="52"/>
      <c r="L9" s="50"/>
      <c r="M9" s="53"/>
      <c r="N9" s="54"/>
    </row>
    <row r="10" spans="1:17" x14ac:dyDescent="0.2">
      <c r="A10" s="55"/>
      <c r="B10" s="29"/>
      <c r="C10" s="39"/>
      <c r="D10" s="56"/>
      <c r="E10" s="57"/>
      <c r="F10" s="121"/>
      <c r="G10" s="39"/>
      <c r="H10" s="56"/>
      <c r="I10" s="56"/>
      <c r="J10" s="58"/>
      <c r="K10" s="58"/>
      <c r="L10" s="58"/>
      <c r="M10" s="59"/>
      <c r="N10" s="60"/>
    </row>
    <row r="11" spans="1:17" x14ac:dyDescent="0.2">
      <c r="A11" s="61" t="s">
        <v>76</v>
      </c>
      <c r="B11" s="61"/>
      <c r="C11" s="62"/>
      <c r="D11" s="56"/>
      <c r="E11" s="63"/>
      <c r="F11" s="122"/>
      <c r="G11" s="56"/>
      <c r="H11" s="56"/>
      <c r="I11" s="56"/>
      <c r="J11" s="63"/>
      <c r="K11" s="63"/>
      <c r="L11" s="63"/>
      <c r="M11" s="59"/>
      <c r="N11" s="64"/>
    </row>
    <row r="12" spans="1:17" hidden="1" outlineLevel="1" x14ac:dyDescent="0.2">
      <c r="A12" s="61">
        <v>44165</v>
      </c>
      <c r="B12" s="61"/>
      <c r="C12" s="62"/>
      <c r="D12" s="56"/>
      <c r="E12" s="63"/>
      <c r="F12" s="122"/>
      <c r="G12" s="56"/>
      <c r="H12" s="56"/>
      <c r="I12" s="56"/>
      <c r="J12" s="63"/>
      <c r="K12" s="63"/>
      <c r="L12" s="63"/>
      <c r="M12" s="58"/>
      <c r="N12" s="64"/>
    </row>
    <row r="13" spans="1:17" hidden="1" outlineLevel="1" x14ac:dyDescent="0.2">
      <c r="A13" s="61">
        <v>44196</v>
      </c>
      <c r="B13" s="61"/>
      <c r="C13" s="62"/>
      <c r="D13" s="56"/>
      <c r="E13" s="63"/>
      <c r="F13" s="122"/>
      <c r="G13" s="56"/>
      <c r="H13" s="56"/>
      <c r="I13" s="56"/>
      <c r="J13" s="63"/>
      <c r="K13" s="63"/>
      <c r="L13" s="63"/>
      <c r="M13" s="58"/>
      <c r="N13" s="64"/>
    </row>
    <row r="14" spans="1:17" hidden="1" outlineLevel="1" x14ac:dyDescent="0.2">
      <c r="A14" s="61">
        <v>44227</v>
      </c>
      <c r="B14" s="61"/>
      <c r="C14" s="62"/>
      <c r="D14" s="56"/>
      <c r="E14" s="63"/>
      <c r="F14" s="122"/>
      <c r="G14" s="56"/>
      <c r="H14" s="56"/>
      <c r="I14" s="56"/>
      <c r="J14" s="63"/>
      <c r="K14" s="63"/>
      <c r="L14" s="63"/>
      <c r="M14" s="58"/>
      <c r="N14" s="64"/>
    </row>
    <row r="15" spans="1:17" hidden="1" outlineLevel="1" x14ac:dyDescent="0.2">
      <c r="A15" s="61">
        <v>44255</v>
      </c>
      <c r="B15" s="61"/>
      <c r="C15" s="62"/>
      <c r="D15" s="56"/>
      <c r="E15" s="63"/>
      <c r="F15" s="122"/>
      <c r="G15" s="56"/>
      <c r="H15" s="56"/>
      <c r="I15" s="56"/>
      <c r="J15" s="63"/>
      <c r="K15" s="63"/>
      <c r="L15" s="63"/>
      <c r="M15" s="58"/>
      <c r="N15" s="64"/>
    </row>
    <row r="16" spans="1:17" hidden="1" outlineLevel="1" x14ac:dyDescent="0.2">
      <c r="A16" s="61">
        <v>44286</v>
      </c>
      <c r="B16" s="61"/>
      <c r="C16" s="62"/>
      <c r="D16" s="56"/>
      <c r="E16" s="63"/>
      <c r="F16" s="122"/>
      <c r="G16" s="56"/>
      <c r="H16" s="56"/>
      <c r="I16" s="56"/>
      <c r="J16" s="63"/>
      <c r="K16" s="63"/>
      <c r="L16" s="63"/>
      <c r="M16" s="58"/>
      <c r="N16" s="64"/>
    </row>
    <row r="17" spans="1:14" hidden="1" outlineLevel="1" x14ac:dyDescent="0.2">
      <c r="A17" s="61">
        <v>44316</v>
      </c>
      <c r="B17" s="61"/>
      <c r="C17" s="62"/>
      <c r="D17" s="56"/>
      <c r="E17" s="63"/>
      <c r="F17" s="122"/>
      <c r="G17" s="56"/>
      <c r="H17" s="56"/>
      <c r="I17" s="56"/>
      <c r="J17" s="63"/>
      <c r="K17" s="63"/>
      <c r="L17" s="63"/>
      <c r="M17" s="58"/>
      <c r="N17" s="64"/>
    </row>
    <row r="18" spans="1:14" hidden="1" outlineLevel="1" x14ac:dyDescent="0.2">
      <c r="A18" s="61">
        <v>44347</v>
      </c>
      <c r="B18" s="61"/>
      <c r="C18" s="62"/>
      <c r="D18" s="56"/>
      <c r="E18" s="63"/>
      <c r="F18" s="122"/>
      <c r="G18" s="56"/>
      <c r="H18" s="56"/>
      <c r="I18" s="56"/>
      <c r="J18" s="63"/>
      <c r="K18" s="63"/>
      <c r="L18" s="63"/>
      <c r="M18" s="58"/>
      <c r="N18" s="64"/>
    </row>
    <row r="19" spans="1:14" hidden="1" outlineLevel="1" x14ac:dyDescent="0.2">
      <c r="A19" s="61">
        <v>44377</v>
      </c>
      <c r="B19" s="61"/>
      <c r="C19" s="62"/>
      <c r="D19" s="56"/>
      <c r="E19" s="63"/>
      <c r="F19" s="122"/>
      <c r="G19" s="56"/>
      <c r="H19" s="56"/>
      <c r="I19" s="56"/>
      <c r="J19" s="63"/>
      <c r="K19" s="63"/>
      <c r="L19" s="63"/>
      <c r="M19" s="58"/>
      <c r="N19" s="64"/>
    </row>
    <row r="20" spans="1:14" hidden="1" outlineLevel="1" x14ac:dyDescent="0.2">
      <c r="A20" s="61">
        <v>44408</v>
      </c>
      <c r="B20" s="61"/>
      <c r="C20" s="62"/>
      <c r="D20" s="56"/>
      <c r="E20" s="63"/>
      <c r="F20" s="122"/>
      <c r="G20" s="56"/>
      <c r="H20" s="56"/>
      <c r="I20" s="56"/>
      <c r="J20" s="63"/>
      <c r="K20" s="63"/>
      <c r="L20" s="63"/>
      <c r="M20" s="58"/>
      <c r="N20" s="64"/>
    </row>
    <row r="21" spans="1:14" hidden="1" outlineLevel="1" x14ac:dyDescent="0.2">
      <c r="A21" s="61">
        <v>44439</v>
      </c>
      <c r="B21" s="61"/>
      <c r="C21" s="62"/>
      <c r="D21" s="56"/>
      <c r="E21" s="63"/>
      <c r="F21" s="122"/>
      <c r="G21" s="56"/>
      <c r="H21" s="56"/>
      <c r="I21" s="56"/>
      <c r="J21" s="63"/>
      <c r="K21" s="63"/>
      <c r="L21" s="63"/>
      <c r="M21" s="58"/>
      <c r="N21" s="64"/>
    </row>
    <row r="22" spans="1:14" hidden="1" outlineLevel="1" x14ac:dyDescent="0.2">
      <c r="A22" s="61">
        <v>44469</v>
      </c>
      <c r="B22" s="61"/>
      <c r="C22" s="62"/>
      <c r="D22" s="56"/>
      <c r="E22" s="63"/>
      <c r="F22" s="122"/>
      <c r="G22" s="56"/>
      <c r="H22" s="56"/>
      <c r="I22" s="56"/>
      <c r="J22" s="63"/>
      <c r="K22" s="63"/>
      <c r="L22" s="63"/>
      <c r="M22" s="58"/>
      <c r="N22" s="64"/>
    </row>
    <row r="23" spans="1:14" hidden="1" outlineLevel="1" x14ac:dyDescent="0.2">
      <c r="A23" s="61">
        <v>44500</v>
      </c>
      <c r="B23" s="61"/>
      <c r="C23" s="62"/>
      <c r="D23" s="56"/>
      <c r="E23" s="63"/>
      <c r="F23" s="122"/>
      <c r="G23" s="56"/>
      <c r="H23" s="56"/>
      <c r="I23" s="56"/>
      <c r="J23" s="63"/>
      <c r="K23" s="63"/>
      <c r="L23" s="63"/>
      <c r="M23" s="58"/>
      <c r="N23" s="64"/>
    </row>
    <row r="24" spans="1:14" collapsed="1" x14ac:dyDescent="0.2">
      <c r="A24" s="61">
        <v>44530</v>
      </c>
      <c r="B24" s="61"/>
      <c r="C24" s="62"/>
      <c r="D24" s="63">
        <f>D11+C24</f>
        <v>0</v>
      </c>
      <c r="E24" s="63">
        <f t="shared" ref="E24:E25" si="0">(D12+D24+SUM(D13:D23)*2)/24</f>
        <v>0</v>
      </c>
      <c r="F24" s="122">
        <v>0</v>
      </c>
      <c r="G24" s="63">
        <v>0</v>
      </c>
      <c r="H24" s="63">
        <v>0</v>
      </c>
      <c r="I24" s="63">
        <v>0</v>
      </c>
      <c r="J24" s="63">
        <f t="shared" ref="J24:J87" si="1">(-C24*0.21)+(F24*0.21)</f>
        <v>0</v>
      </c>
      <c r="K24" s="63">
        <f t="shared" ref="K24:K87" si="2">K23+J24</f>
        <v>0</v>
      </c>
      <c r="L24" s="63">
        <v>0</v>
      </c>
      <c r="M24" s="63">
        <v>0</v>
      </c>
      <c r="N24" s="65">
        <v>0</v>
      </c>
    </row>
    <row r="25" spans="1:14" x14ac:dyDescent="0.2">
      <c r="A25" s="61">
        <v>44561</v>
      </c>
      <c r="B25" s="61"/>
      <c r="C25" s="62"/>
      <c r="D25" s="63">
        <f t="shared" ref="D25:D88" si="3">D24+C25</f>
        <v>0</v>
      </c>
      <c r="E25" s="63">
        <f t="shared" si="0"/>
        <v>0</v>
      </c>
      <c r="F25" s="122">
        <v>0</v>
      </c>
      <c r="G25" s="63">
        <v>0</v>
      </c>
      <c r="H25" s="63">
        <v>0</v>
      </c>
      <c r="I25" s="63">
        <v>0</v>
      </c>
      <c r="J25" s="63">
        <f t="shared" si="1"/>
        <v>0</v>
      </c>
      <c r="K25" s="63">
        <f t="shared" si="2"/>
        <v>0</v>
      </c>
      <c r="L25" s="63">
        <v>0</v>
      </c>
      <c r="M25" s="63">
        <v>0</v>
      </c>
      <c r="N25" s="65">
        <v>0</v>
      </c>
    </row>
    <row r="26" spans="1:14" x14ac:dyDescent="0.2">
      <c r="A26" s="61">
        <v>44592</v>
      </c>
      <c r="B26" s="61"/>
      <c r="C26" s="62">
        <f>'Plant Additions'!F11</f>
        <v>0</v>
      </c>
      <c r="D26" s="63">
        <f>D25+C26</f>
        <v>0</v>
      </c>
      <c r="E26" s="63">
        <f t="shared" ref="E26:E38" si="4">(D14+D26+SUM(D15:D25)*2)/24</f>
        <v>0</v>
      </c>
      <c r="F26" s="122"/>
      <c r="G26" s="63">
        <f>G25-F26</f>
        <v>0</v>
      </c>
      <c r="H26" s="63">
        <v>0</v>
      </c>
      <c r="I26" s="63">
        <v>0</v>
      </c>
      <c r="J26" s="63">
        <f t="shared" si="1"/>
        <v>0</v>
      </c>
      <c r="K26" s="63">
        <f>K25+J26</f>
        <v>0</v>
      </c>
      <c r="L26" s="63">
        <v>0</v>
      </c>
      <c r="M26" s="63">
        <v>0</v>
      </c>
      <c r="N26" s="65">
        <v>0</v>
      </c>
    </row>
    <row r="27" spans="1:14" x14ac:dyDescent="0.2">
      <c r="A27" s="61">
        <v>44620</v>
      </c>
      <c r="B27" s="61"/>
      <c r="C27" s="62">
        <f>'Plant Additions'!F12</f>
        <v>270345.88582345843</v>
      </c>
      <c r="D27" s="63">
        <f t="shared" si="3"/>
        <v>270345.88582345843</v>
      </c>
      <c r="E27" s="63">
        <f t="shared" si="4"/>
        <v>11264.411909310767</v>
      </c>
      <c r="F27" s="122"/>
      <c r="G27" s="63">
        <f t="shared" ref="G27:G37" si="5">G26-F27</f>
        <v>0</v>
      </c>
      <c r="H27" s="63">
        <f t="shared" ref="H27:H37" si="6">(G15+G27+SUM(G16:G26)*2)/24</f>
        <v>0</v>
      </c>
      <c r="I27" s="63">
        <f>H27</f>
        <v>0</v>
      </c>
      <c r="J27" s="63">
        <f t="shared" si="1"/>
        <v>-56772.636022926272</v>
      </c>
      <c r="K27" s="63">
        <f t="shared" si="2"/>
        <v>-56772.636022926272</v>
      </c>
      <c r="L27" s="63">
        <f t="shared" ref="L27:L37" si="7">(K15+K27+SUM(K16:K26)*2)/24</f>
        <v>-2365.5265009552613</v>
      </c>
      <c r="M27" s="63">
        <f>I27+L27</f>
        <v>-2365.5265009552613</v>
      </c>
      <c r="N27" s="65">
        <f t="shared" ref="N27:N36" si="8">+D27+G27+K27</f>
        <v>213573.24980053215</v>
      </c>
    </row>
    <row r="28" spans="1:14" x14ac:dyDescent="0.2">
      <c r="A28" s="61">
        <v>44651</v>
      </c>
      <c r="B28" s="61"/>
      <c r="C28" s="62">
        <f>'Plant Additions'!F13</f>
        <v>522406.7159037501</v>
      </c>
      <c r="D28" s="63">
        <f t="shared" si="3"/>
        <v>792752.60172720859</v>
      </c>
      <c r="E28" s="63">
        <f t="shared" si="4"/>
        <v>55560.182223921896</v>
      </c>
      <c r="F28" s="122"/>
      <c r="G28" s="63">
        <f t="shared" si="5"/>
        <v>0</v>
      </c>
      <c r="H28" s="63">
        <f t="shared" si="6"/>
        <v>0</v>
      </c>
      <c r="I28" s="63">
        <f t="shared" ref="I28:I37" si="9">H28</f>
        <v>0</v>
      </c>
      <c r="J28" s="63">
        <f t="shared" si="1"/>
        <v>-109705.41033978752</v>
      </c>
      <c r="K28" s="63">
        <f t="shared" si="2"/>
        <v>-166478.04636271379</v>
      </c>
      <c r="L28" s="63">
        <f t="shared" si="7"/>
        <v>-11667.638267023598</v>
      </c>
      <c r="M28" s="63">
        <f t="shared" ref="M28:M36" si="10">I28+L28</f>
        <v>-11667.638267023598</v>
      </c>
      <c r="N28" s="65">
        <f t="shared" si="8"/>
        <v>626274.55536449479</v>
      </c>
    </row>
    <row r="29" spans="1:14" x14ac:dyDescent="0.2">
      <c r="A29" s="61">
        <v>44681</v>
      </c>
      <c r="B29" s="61"/>
      <c r="C29" s="62">
        <f>'Plant Additions'!F14</f>
        <v>522679.15143962507</v>
      </c>
      <c r="D29" s="63">
        <f t="shared" si="3"/>
        <v>1315431.7531668337</v>
      </c>
      <c r="E29" s="63">
        <f t="shared" si="4"/>
        <v>143401.19701117367</v>
      </c>
      <c r="F29" s="122"/>
      <c r="G29" s="63">
        <f t="shared" si="5"/>
        <v>0</v>
      </c>
      <c r="H29" s="63">
        <f t="shared" si="6"/>
        <v>0</v>
      </c>
      <c r="I29" s="63">
        <f t="shared" si="9"/>
        <v>0</v>
      </c>
      <c r="J29" s="63">
        <f t="shared" si="1"/>
        <v>-109762.62180232126</v>
      </c>
      <c r="K29" s="63">
        <f t="shared" si="2"/>
        <v>-276240.66816503508</v>
      </c>
      <c r="L29" s="63">
        <f t="shared" si="7"/>
        <v>-30114.251372346469</v>
      </c>
      <c r="M29" s="63">
        <f t="shared" si="10"/>
        <v>-30114.251372346469</v>
      </c>
      <c r="N29" s="65">
        <f t="shared" si="8"/>
        <v>1039191.0850017986</v>
      </c>
    </row>
    <row r="30" spans="1:14" x14ac:dyDescent="0.2">
      <c r="A30" s="61">
        <v>44712</v>
      </c>
      <c r="B30" s="61"/>
      <c r="C30" s="62">
        <f>'Plant Additions'!F15</f>
        <v>522883.76147820853</v>
      </c>
      <c r="D30" s="63">
        <f t="shared" si="3"/>
        <v>1838315.5146450421</v>
      </c>
      <c r="E30" s="63">
        <f t="shared" si="4"/>
        <v>274807.3331700018</v>
      </c>
      <c r="F30" s="122"/>
      <c r="G30" s="63">
        <f t="shared" si="5"/>
        <v>0</v>
      </c>
      <c r="H30" s="63">
        <f t="shared" si="6"/>
        <v>0</v>
      </c>
      <c r="I30" s="63">
        <f t="shared" si="9"/>
        <v>0</v>
      </c>
      <c r="J30" s="63">
        <f t="shared" si="1"/>
        <v>-109805.58991042379</v>
      </c>
      <c r="K30" s="63">
        <f t="shared" si="2"/>
        <v>-386046.25807545887</v>
      </c>
      <c r="L30" s="63">
        <f t="shared" si="7"/>
        <v>-57709.539965700387</v>
      </c>
      <c r="M30" s="63">
        <f t="shared" si="10"/>
        <v>-57709.539965700387</v>
      </c>
      <c r="N30" s="65">
        <f t="shared" si="8"/>
        <v>1452269.2565695832</v>
      </c>
    </row>
    <row r="31" spans="1:14" x14ac:dyDescent="0.2">
      <c r="A31" s="61">
        <v>44742</v>
      </c>
      <c r="B31" s="61"/>
      <c r="C31" s="62">
        <f>'Plant Additions'!F16</f>
        <v>523072.99290333351</v>
      </c>
      <c r="D31" s="63">
        <f t="shared" si="3"/>
        <v>2361388.5075483755</v>
      </c>
      <c r="E31" s="63">
        <f t="shared" si="4"/>
        <v>449795.00076139416</v>
      </c>
      <c r="F31" s="122"/>
      <c r="G31" s="63">
        <f t="shared" si="5"/>
        <v>0</v>
      </c>
      <c r="H31" s="63">
        <f t="shared" si="6"/>
        <v>0</v>
      </c>
      <c r="I31" s="63">
        <f t="shared" si="9"/>
        <v>0</v>
      </c>
      <c r="J31" s="63">
        <f t="shared" si="1"/>
        <v>-109845.32850970003</v>
      </c>
      <c r="K31" s="63">
        <f t="shared" si="2"/>
        <v>-495891.58658515889</v>
      </c>
      <c r="L31" s="63">
        <f t="shared" si="7"/>
        <v>-94456.950159892789</v>
      </c>
      <c r="M31" s="63">
        <f t="shared" si="10"/>
        <v>-94456.950159892789</v>
      </c>
      <c r="N31" s="65">
        <f t="shared" si="8"/>
        <v>1865496.9209632166</v>
      </c>
    </row>
    <row r="32" spans="1:14" x14ac:dyDescent="0.2">
      <c r="A32" s="61">
        <v>44773</v>
      </c>
      <c r="C32" s="62">
        <f>'Plant Additions'!F17</f>
        <v>523191.38679333357</v>
      </c>
      <c r="D32" s="63">
        <f t="shared" si="3"/>
        <v>2884579.8943417091</v>
      </c>
      <c r="E32" s="63">
        <f t="shared" si="4"/>
        <v>668377.01750681433</v>
      </c>
      <c r="F32" s="122"/>
      <c r="G32" s="63">
        <f t="shared" si="5"/>
        <v>0</v>
      </c>
      <c r="H32" s="63">
        <f t="shared" si="6"/>
        <v>0</v>
      </c>
      <c r="I32" s="63">
        <f t="shared" si="9"/>
        <v>0</v>
      </c>
      <c r="J32" s="63">
        <f t="shared" si="1"/>
        <v>-109870.19122660004</v>
      </c>
      <c r="K32" s="63">
        <f t="shared" si="2"/>
        <v>-605761.77781175892</v>
      </c>
      <c r="L32" s="63">
        <f t="shared" si="7"/>
        <v>-140359.17367643103</v>
      </c>
      <c r="M32" s="63">
        <f t="shared" si="10"/>
        <v>-140359.17367643103</v>
      </c>
      <c r="N32" s="65">
        <f t="shared" si="8"/>
        <v>2278818.1165299499</v>
      </c>
    </row>
    <row r="33" spans="1:15" x14ac:dyDescent="0.2">
      <c r="A33" s="61">
        <v>44804</v>
      </c>
      <c r="C33" s="62">
        <f>'Plant Additions'!F18</f>
        <v>523328.00430545851</v>
      </c>
      <c r="D33" s="63">
        <f t="shared" si="3"/>
        <v>3407907.8986471677</v>
      </c>
      <c r="E33" s="63">
        <f t="shared" si="4"/>
        <v>930564.00888135086</v>
      </c>
      <c r="F33" s="122"/>
      <c r="G33" s="63">
        <f t="shared" si="5"/>
        <v>0</v>
      </c>
      <c r="H33" s="63">
        <f t="shared" si="6"/>
        <v>0</v>
      </c>
      <c r="I33" s="63">
        <f t="shared" si="9"/>
        <v>0</v>
      </c>
      <c r="J33" s="63">
        <f t="shared" si="1"/>
        <v>-109898.88090414628</v>
      </c>
      <c r="K33" s="63">
        <f t="shared" si="2"/>
        <v>-715660.65871590516</v>
      </c>
      <c r="L33" s="63">
        <f t="shared" si="7"/>
        <v>-195418.44186508367</v>
      </c>
      <c r="M33" s="63">
        <f t="shared" si="10"/>
        <v>-195418.44186508367</v>
      </c>
      <c r="N33" s="65">
        <f t="shared" si="8"/>
        <v>2692247.2399312626</v>
      </c>
    </row>
    <row r="34" spans="1:15" x14ac:dyDescent="0.2">
      <c r="A34" s="61">
        <v>44834</v>
      </c>
      <c r="C34" s="62">
        <f>'Plant Additions'!F19</f>
        <v>523575.05969275022</v>
      </c>
      <c r="D34" s="63">
        <f t="shared" si="3"/>
        <v>3931482.9583399179</v>
      </c>
      <c r="E34" s="63">
        <f t="shared" si="4"/>
        <v>1236371.9612558128</v>
      </c>
      <c r="F34" s="122"/>
      <c r="G34" s="63">
        <f t="shared" si="5"/>
        <v>0</v>
      </c>
      <c r="H34" s="63">
        <f t="shared" si="6"/>
        <v>0</v>
      </c>
      <c r="I34" s="63">
        <f t="shared" si="9"/>
        <v>0</v>
      </c>
      <c r="J34" s="63">
        <f t="shared" si="1"/>
        <v>-109950.76253547754</v>
      </c>
      <c r="K34" s="63">
        <f t="shared" si="2"/>
        <v>-825611.42125138268</v>
      </c>
      <c r="L34" s="63">
        <f t="shared" si="7"/>
        <v>-259638.1118637207</v>
      </c>
      <c r="M34" s="63">
        <f t="shared" si="10"/>
        <v>-259638.1118637207</v>
      </c>
      <c r="N34" s="65">
        <f t="shared" si="8"/>
        <v>3105871.5370885353</v>
      </c>
    </row>
    <row r="35" spans="1:15" x14ac:dyDescent="0.2">
      <c r="A35" s="61">
        <v>44865</v>
      </c>
      <c r="C35" s="62">
        <f>'Plant Additions'!F20</f>
        <v>523800.61537508352</v>
      </c>
      <c r="D35" s="63">
        <f t="shared" si="3"/>
        <v>4455283.5737150013</v>
      </c>
      <c r="E35" s="63">
        <f t="shared" si="4"/>
        <v>1585820.5667581011</v>
      </c>
      <c r="F35" s="122"/>
      <c r="G35" s="63">
        <f t="shared" si="5"/>
        <v>0</v>
      </c>
      <c r="H35" s="63">
        <f t="shared" si="6"/>
        <v>0</v>
      </c>
      <c r="I35" s="63">
        <f t="shared" si="9"/>
        <v>0</v>
      </c>
      <c r="J35" s="63">
        <f t="shared" si="1"/>
        <v>-109998.12922876753</v>
      </c>
      <c r="K35" s="63">
        <f t="shared" si="2"/>
        <v>-935609.55048015015</v>
      </c>
      <c r="L35" s="63">
        <f t="shared" si="7"/>
        <v>-333022.31901920121</v>
      </c>
      <c r="M35" s="63">
        <f t="shared" si="10"/>
        <v>-333022.31901920121</v>
      </c>
      <c r="N35" s="65">
        <f t="shared" si="8"/>
        <v>3519674.0232348512</v>
      </c>
    </row>
    <row r="36" spans="1:15" x14ac:dyDescent="0.2">
      <c r="A36" s="61">
        <v>44895</v>
      </c>
      <c r="C36" s="62">
        <f>'Plant Additions'!F21</f>
        <v>523928.52790887526</v>
      </c>
      <c r="D36" s="63">
        <f t="shared" si="3"/>
        <v>4979212.101623877</v>
      </c>
      <c r="E36" s="63">
        <f t="shared" si="4"/>
        <v>1978924.5532305546</v>
      </c>
      <c r="F36" s="122"/>
      <c r="G36" s="63">
        <f t="shared" si="5"/>
        <v>0</v>
      </c>
      <c r="H36" s="63">
        <f t="shared" si="6"/>
        <v>0</v>
      </c>
      <c r="I36" s="63">
        <f t="shared" si="9"/>
        <v>0</v>
      </c>
      <c r="J36" s="63">
        <f t="shared" si="1"/>
        <v>-110024.99086086381</v>
      </c>
      <c r="K36" s="63">
        <f t="shared" si="2"/>
        <v>-1045634.541341014</v>
      </c>
      <c r="L36" s="63">
        <f t="shared" si="7"/>
        <v>-415574.15617841639</v>
      </c>
      <c r="M36" s="63">
        <f t="shared" si="10"/>
        <v>-415574.15617841639</v>
      </c>
      <c r="N36" s="65">
        <f t="shared" si="8"/>
        <v>3933577.5602828627</v>
      </c>
    </row>
    <row r="37" spans="1:15" x14ac:dyDescent="0.2">
      <c r="A37" s="61">
        <v>44926</v>
      </c>
      <c r="C37" s="62">
        <f>'Plant Additions'!F22</f>
        <v>524108.3233011252</v>
      </c>
      <c r="D37" s="63">
        <f t="shared" si="3"/>
        <v>5503320.4249250023</v>
      </c>
      <c r="E37" s="63">
        <f t="shared" si="4"/>
        <v>2415696.7418367579</v>
      </c>
      <c r="F37" s="122"/>
      <c r="G37" s="63">
        <f t="shared" si="5"/>
        <v>0</v>
      </c>
      <c r="H37" s="63">
        <f t="shared" si="6"/>
        <v>0</v>
      </c>
      <c r="I37" s="63">
        <f t="shared" si="9"/>
        <v>0</v>
      </c>
      <c r="J37" s="63">
        <f t="shared" si="1"/>
        <v>-110062.74789323629</v>
      </c>
      <c r="K37" s="63">
        <f t="shared" si="2"/>
        <v>-1155697.2892342503</v>
      </c>
      <c r="L37" s="63">
        <f t="shared" si="7"/>
        <v>-507296.31578571908</v>
      </c>
      <c r="M37" s="63">
        <f t="shared" ref="M37:M97" si="11">L37+I37</f>
        <v>-507296.31578571908</v>
      </c>
      <c r="N37" s="64">
        <f t="shared" ref="N37:N97" si="12">+D37+G37+K37</f>
        <v>4347623.1356907524</v>
      </c>
    </row>
    <row r="38" spans="1:15" x14ac:dyDescent="0.2">
      <c r="A38" s="61">
        <v>44957</v>
      </c>
      <c r="B38" s="61"/>
      <c r="C38" s="62">
        <f>'Plant Additions'!F23</f>
        <v>524202.83662783355</v>
      </c>
      <c r="D38" s="63">
        <f t="shared" si="3"/>
        <v>6027523.2615528358</v>
      </c>
      <c r="E38" s="63">
        <f t="shared" si="4"/>
        <v>2896148.5621066676</v>
      </c>
      <c r="F38" s="122"/>
      <c r="G38" s="63">
        <f t="shared" ref="G38:G97" si="13">G37-F38</f>
        <v>0</v>
      </c>
      <c r="H38" s="63">
        <f t="shared" ref="H38:H97" si="14">(G26+G38+SUM(G27:G37)*2)/24</f>
        <v>0</v>
      </c>
      <c r="I38" s="63">
        <f t="shared" ref="I38:I97" si="15">E38+H38</f>
        <v>2896148.5621066676</v>
      </c>
      <c r="J38" s="63">
        <f t="shared" si="1"/>
        <v>-110082.59569184504</v>
      </c>
      <c r="K38" s="68">
        <f t="shared" si="2"/>
        <v>-1265779.8849260954</v>
      </c>
      <c r="L38" s="63">
        <f t="shared" ref="L38:L97" si="16">(K26+K38+SUM(K27:K37)*2)/24</f>
        <v>-608191.19804240018</v>
      </c>
      <c r="M38" s="69">
        <f t="shared" si="11"/>
        <v>2287957.3640642674</v>
      </c>
      <c r="N38" s="64">
        <f t="shared" si="12"/>
        <v>4761743.3766267402</v>
      </c>
    </row>
    <row r="39" spans="1:15" x14ac:dyDescent="0.2">
      <c r="A39" s="61">
        <v>44985</v>
      </c>
      <c r="B39" s="61"/>
      <c r="C39" s="62">
        <f>'Plant Additions'!F24</f>
        <v>524215.85926104197</v>
      </c>
      <c r="D39" s="63">
        <f t="shared" si="3"/>
        <v>6551739.1208138783</v>
      </c>
      <c r="E39" s="63">
        <f t="shared" ref="E39:E97" si="17">(D27+D39+SUM(D28:D38)*2)/24</f>
        <v>3409020.0827959701</v>
      </c>
      <c r="F39" s="122"/>
      <c r="G39" s="63">
        <f t="shared" si="13"/>
        <v>0</v>
      </c>
      <c r="H39" s="63">
        <f t="shared" si="14"/>
        <v>0</v>
      </c>
      <c r="I39" s="63">
        <f t="shared" si="15"/>
        <v>3409020.0827959701</v>
      </c>
      <c r="J39" s="63">
        <f t="shared" si="1"/>
        <v>-110085.33044481881</v>
      </c>
      <c r="K39" s="68">
        <f t="shared" si="2"/>
        <v>-1375865.2153709142</v>
      </c>
      <c r="L39" s="63">
        <f t="shared" si="16"/>
        <v>-715894.21738715377</v>
      </c>
      <c r="M39" s="69">
        <f t="shared" si="11"/>
        <v>2693125.8654088164</v>
      </c>
      <c r="N39" s="64">
        <f t="shared" si="12"/>
        <v>5175873.9054429643</v>
      </c>
    </row>
    <row r="40" spans="1:15" x14ac:dyDescent="0.2">
      <c r="A40" s="61">
        <v>45016</v>
      </c>
      <c r="B40" s="61"/>
      <c r="C40" s="62">
        <f>'Plant Additions'!F25</f>
        <v>524251.06391937518</v>
      </c>
      <c r="D40" s="63">
        <f t="shared" si="3"/>
        <v>7075990.184733253</v>
      </c>
      <c r="E40" s="63">
        <f t="shared" si="17"/>
        <v>3932546.3668791559</v>
      </c>
      <c r="F40" s="122"/>
      <c r="G40" s="63">
        <f t="shared" si="13"/>
        <v>0</v>
      </c>
      <c r="H40" s="63">
        <f t="shared" si="14"/>
        <v>0</v>
      </c>
      <c r="I40" s="63">
        <f t="shared" si="15"/>
        <v>3932546.3668791559</v>
      </c>
      <c r="J40" s="63">
        <f t="shared" si="1"/>
        <v>-110092.72342306879</v>
      </c>
      <c r="K40" s="68">
        <f t="shared" si="2"/>
        <v>-1485957.9387939831</v>
      </c>
      <c r="L40" s="63">
        <f t="shared" si="16"/>
        <v>-825834.73704462266</v>
      </c>
      <c r="M40" s="69">
        <f t="shared" si="11"/>
        <v>3106711.6298345332</v>
      </c>
      <c r="N40" s="64">
        <f t="shared" si="12"/>
        <v>5590032.2459392697</v>
      </c>
    </row>
    <row r="41" spans="1:15" x14ac:dyDescent="0.2">
      <c r="A41" s="61">
        <v>45046</v>
      </c>
      <c r="B41" s="61"/>
      <c r="C41" s="62">
        <f>'Plant Additions'!F26</f>
        <v>524291.50587108359</v>
      </c>
      <c r="D41" s="63">
        <f t="shared" si="3"/>
        <v>7600281.6906043366</v>
      </c>
      <c r="E41" s="63">
        <f t="shared" si="17"/>
        <v>4456216.6802309705</v>
      </c>
      <c r="F41" s="122"/>
      <c r="G41" s="63">
        <f t="shared" si="13"/>
        <v>0</v>
      </c>
      <c r="H41" s="63">
        <f t="shared" si="14"/>
        <v>0</v>
      </c>
      <c r="I41" s="63">
        <f t="shared" si="15"/>
        <v>4456216.6802309705</v>
      </c>
      <c r="J41" s="63">
        <f t="shared" si="1"/>
        <v>-110101.21623292755</v>
      </c>
      <c r="K41" s="68">
        <f t="shared" si="2"/>
        <v>-1596059.1550269106</v>
      </c>
      <c r="L41" s="63">
        <f t="shared" si="16"/>
        <v>-935805.50284850365</v>
      </c>
      <c r="M41" s="69">
        <f t="shared" si="11"/>
        <v>3520411.1773824668</v>
      </c>
      <c r="N41" s="64">
        <f t="shared" si="12"/>
        <v>6004222.5355774257</v>
      </c>
    </row>
    <row r="42" spans="1:15" x14ac:dyDescent="0.2">
      <c r="A42" s="61">
        <v>45077</v>
      </c>
      <c r="B42" s="61"/>
      <c r="C42" s="62">
        <f>'Plant Additions'!F27</f>
        <v>524291.50587108359</v>
      </c>
      <c r="D42" s="63">
        <f t="shared" si="3"/>
        <v>8124573.1964754201</v>
      </c>
      <c r="E42" s="63">
        <f t="shared" si="17"/>
        <v>4980012.8310337989</v>
      </c>
      <c r="F42" s="122"/>
      <c r="G42" s="63">
        <f t="shared" si="13"/>
        <v>0</v>
      </c>
      <c r="H42" s="63">
        <f t="shared" si="14"/>
        <v>0</v>
      </c>
      <c r="I42" s="63">
        <f t="shared" si="15"/>
        <v>4980012.8310337989</v>
      </c>
      <c r="J42" s="63">
        <f t="shared" si="1"/>
        <v>-110101.21623292755</v>
      </c>
      <c r="K42" s="68">
        <f t="shared" si="2"/>
        <v>-1706160.3712598381</v>
      </c>
      <c r="L42" s="63">
        <f t="shared" si="16"/>
        <v>-1045802.6945170976</v>
      </c>
      <c r="M42" s="69">
        <f t="shared" si="11"/>
        <v>3934210.1365167014</v>
      </c>
      <c r="N42" s="64">
        <f t="shared" si="12"/>
        <v>6418412.8252155818</v>
      </c>
    </row>
    <row r="43" spans="1:15" x14ac:dyDescent="0.2">
      <c r="A43" s="61">
        <v>45107</v>
      </c>
      <c r="B43" s="61"/>
      <c r="C43" s="62">
        <f>'Plant Additions'!F28</f>
        <v>524291.50587108359</v>
      </c>
      <c r="D43" s="63">
        <f t="shared" si="3"/>
        <v>8648864.7023465037</v>
      </c>
      <c r="E43" s="63">
        <f t="shared" si="17"/>
        <v>5503918.4092266541</v>
      </c>
      <c r="F43" s="122"/>
      <c r="G43" s="63">
        <f t="shared" si="13"/>
        <v>0</v>
      </c>
      <c r="H43" s="63">
        <f t="shared" si="14"/>
        <v>0</v>
      </c>
      <c r="I43" s="63">
        <f t="shared" si="15"/>
        <v>5503918.4092266541</v>
      </c>
      <c r="J43" s="63">
        <f t="shared" si="1"/>
        <v>-110101.21623292755</v>
      </c>
      <c r="K43" s="68">
        <f t="shared" si="2"/>
        <v>-1816261.5874927656</v>
      </c>
      <c r="L43" s="63">
        <f t="shared" si="16"/>
        <v>-1155822.8659375971</v>
      </c>
      <c r="M43" s="69">
        <f t="shared" si="11"/>
        <v>4348095.543289057</v>
      </c>
      <c r="N43" s="64">
        <f t="shared" si="12"/>
        <v>6832603.1148537379</v>
      </c>
    </row>
    <row r="44" spans="1:15" x14ac:dyDescent="0.2">
      <c r="A44" s="61">
        <v>45138</v>
      </c>
      <c r="B44" s="61"/>
      <c r="C44" s="62">
        <f>'Plant Additions'!F29</f>
        <v>524291.50587108359</v>
      </c>
      <c r="D44" s="63">
        <f t="shared" si="3"/>
        <v>9173156.2082175873</v>
      </c>
      <c r="E44" s="63">
        <f t="shared" si="17"/>
        <v>6027920.5970880715</v>
      </c>
      <c r="F44" s="122"/>
      <c r="G44" s="63">
        <f t="shared" si="13"/>
        <v>0</v>
      </c>
      <c r="H44" s="63">
        <f t="shared" si="14"/>
        <v>0</v>
      </c>
      <c r="I44" s="63">
        <f t="shared" si="15"/>
        <v>6027920.5970880715</v>
      </c>
      <c r="J44" s="63">
        <f t="shared" si="1"/>
        <v>-110101.21623292755</v>
      </c>
      <c r="K44" s="68">
        <f t="shared" si="2"/>
        <v>-1926362.8037256931</v>
      </c>
      <c r="L44" s="63">
        <f t="shared" si="16"/>
        <v>-1265863.3253884946</v>
      </c>
      <c r="M44" s="69">
        <f t="shared" si="11"/>
        <v>4762057.2716995766</v>
      </c>
      <c r="N44" s="64">
        <f t="shared" si="12"/>
        <v>7246793.4044918939</v>
      </c>
    </row>
    <row r="45" spans="1:15" x14ac:dyDescent="0.2">
      <c r="A45" s="61">
        <v>45169</v>
      </c>
      <c r="B45" s="61"/>
      <c r="C45" s="62">
        <f>'Plant Additions'!F30</f>
        <v>524291.50587108359</v>
      </c>
      <c r="D45" s="63">
        <f t="shared" si="3"/>
        <v>9697447.7140886709</v>
      </c>
      <c r="E45" s="63">
        <f t="shared" si="17"/>
        <v>6552008.7691429621</v>
      </c>
      <c r="F45" s="122"/>
      <c r="G45" s="63">
        <f t="shared" si="13"/>
        <v>0</v>
      </c>
      <c r="H45" s="63">
        <f t="shared" si="14"/>
        <v>0</v>
      </c>
      <c r="I45" s="63">
        <f t="shared" si="15"/>
        <v>6552008.7691429621</v>
      </c>
      <c r="J45" s="63">
        <f t="shared" si="1"/>
        <v>-110101.21623292755</v>
      </c>
      <c r="K45" s="68">
        <f t="shared" si="2"/>
        <v>-2036464.0199586207</v>
      </c>
      <c r="L45" s="63">
        <f t="shared" si="16"/>
        <v>-1375921.8415200217</v>
      </c>
      <c r="M45" s="69">
        <f t="shared" si="11"/>
        <v>5176086.9276229404</v>
      </c>
      <c r="N45" s="64">
        <f t="shared" si="12"/>
        <v>7660983.69413005</v>
      </c>
    </row>
    <row r="46" spans="1:15" x14ac:dyDescent="0.2">
      <c r="A46" s="61">
        <v>45199</v>
      </c>
      <c r="B46" s="61"/>
      <c r="C46" s="62">
        <f>'Plant Additions'!F31</f>
        <v>524291.50587108359</v>
      </c>
      <c r="D46" s="63">
        <f t="shared" si="3"/>
        <v>10221739.219959754</v>
      </c>
      <c r="E46" s="63">
        <f t="shared" si="17"/>
        <v>7076166.9390205173</v>
      </c>
      <c r="F46" s="122"/>
      <c r="G46" s="63">
        <f t="shared" si="13"/>
        <v>0</v>
      </c>
      <c r="H46" s="63">
        <f t="shared" si="14"/>
        <v>0</v>
      </c>
      <c r="I46" s="63">
        <f t="shared" si="15"/>
        <v>7076166.9390205173</v>
      </c>
      <c r="J46" s="63">
        <f t="shared" si="1"/>
        <v>-110101.21623292755</v>
      </c>
      <c r="K46" s="68">
        <f t="shared" si="2"/>
        <v>-2146565.2361915484</v>
      </c>
      <c r="L46" s="63">
        <f t="shared" si="16"/>
        <v>-1485995.0571943086</v>
      </c>
      <c r="M46" s="69">
        <f t="shared" si="11"/>
        <v>5590171.8818262089</v>
      </c>
      <c r="N46" s="64">
        <f t="shared" si="12"/>
        <v>8075173.9837682061</v>
      </c>
    </row>
    <row r="47" spans="1:15" ht="13.5" thickBot="1" x14ac:dyDescent="0.25">
      <c r="A47" s="61">
        <v>45230</v>
      </c>
      <c r="B47" s="61"/>
      <c r="C47" s="62">
        <f>'Plant Additions'!F32</f>
        <v>524291.50587108359</v>
      </c>
      <c r="D47" s="63">
        <f t="shared" si="3"/>
        <v>10746030.725830838</v>
      </c>
      <c r="E47" s="63">
        <f t="shared" si="17"/>
        <v>7600375.414592837</v>
      </c>
      <c r="F47" s="122"/>
      <c r="G47" s="63">
        <f t="shared" si="13"/>
        <v>0</v>
      </c>
      <c r="H47" s="63">
        <f t="shared" si="14"/>
        <v>0</v>
      </c>
      <c r="I47" s="63">
        <f t="shared" si="15"/>
        <v>7600375.414592837</v>
      </c>
      <c r="J47" s="63">
        <f t="shared" si="1"/>
        <v>-110101.21623292755</v>
      </c>
      <c r="K47" s="68">
        <f t="shared" si="2"/>
        <v>-2256666.4524244759</v>
      </c>
      <c r="L47" s="63">
        <f t="shared" si="16"/>
        <v>-1596078.8370644953</v>
      </c>
      <c r="M47" s="69">
        <f t="shared" si="11"/>
        <v>6004296.5775283417</v>
      </c>
      <c r="N47" s="64">
        <f t="shared" si="12"/>
        <v>8489364.2734063622</v>
      </c>
    </row>
    <row r="48" spans="1:15" x14ac:dyDescent="0.2">
      <c r="A48" s="134">
        <v>45260</v>
      </c>
      <c r="B48" s="134" t="s">
        <v>144</v>
      </c>
      <c r="C48" s="136"/>
      <c r="D48" s="136">
        <f t="shared" si="3"/>
        <v>10746030.725830838</v>
      </c>
      <c r="E48" s="136">
        <f t="shared" si="17"/>
        <v>8102773.9886062853</v>
      </c>
      <c r="F48" s="148">
        <f t="shared" ref="F48:F95" si="18">D48/48</f>
        <v>223875.64012147579</v>
      </c>
      <c r="G48" s="136">
        <f t="shared" si="13"/>
        <v>-223875.64012147579</v>
      </c>
      <c r="H48" s="136">
        <f t="shared" si="14"/>
        <v>-9328.1516717281575</v>
      </c>
      <c r="I48" s="136">
        <f t="shared" si="15"/>
        <v>8093445.8369345572</v>
      </c>
      <c r="J48" s="136">
        <f t="shared" si="1"/>
        <v>47013.884425509917</v>
      </c>
      <c r="K48" s="138">
        <f t="shared" si="2"/>
        <v>-2209652.5679989662</v>
      </c>
      <c r="L48" s="136">
        <f t="shared" si="16"/>
        <v>-1699623.6257562572</v>
      </c>
      <c r="M48" s="139">
        <f t="shared" si="11"/>
        <v>6393822.2111783</v>
      </c>
      <c r="N48" s="140">
        <f t="shared" si="12"/>
        <v>8312502.517710397</v>
      </c>
      <c r="O48" s="128"/>
    </row>
    <row r="49" spans="1:15" x14ac:dyDescent="0.2">
      <c r="A49" s="61">
        <v>45291</v>
      </c>
      <c r="B49" s="61" t="s">
        <v>144</v>
      </c>
      <c r="C49" s="63"/>
      <c r="D49" s="63">
        <f t="shared" si="3"/>
        <v>10746030.725830838</v>
      </c>
      <c r="E49" s="63">
        <f t="shared" si="17"/>
        <v>8561504.3604859877</v>
      </c>
      <c r="F49" s="122">
        <f t="shared" si="18"/>
        <v>223875.64012147579</v>
      </c>
      <c r="G49" s="63">
        <f t="shared" si="13"/>
        <v>-447751.28024295159</v>
      </c>
      <c r="H49" s="63">
        <f t="shared" si="14"/>
        <v>-37312.60668691263</v>
      </c>
      <c r="I49" s="63">
        <f t="shared" si="15"/>
        <v>8524191.7537990753</v>
      </c>
      <c r="J49" s="63">
        <f t="shared" si="1"/>
        <v>47013.884425509917</v>
      </c>
      <c r="K49" s="68">
        <f t="shared" si="2"/>
        <v>-2162638.6835734565</v>
      </c>
      <c r="L49" s="63">
        <f t="shared" si="16"/>
        <v>-1790080.2682978057</v>
      </c>
      <c r="M49" s="69">
        <f t="shared" si="11"/>
        <v>6734111.4855012698</v>
      </c>
      <c r="N49" s="64">
        <f t="shared" si="12"/>
        <v>8135640.76201443</v>
      </c>
      <c r="O49" s="128"/>
    </row>
    <row r="50" spans="1:15" x14ac:dyDescent="0.2">
      <c r="A50" s="61">
        <v>45322</v>
      </c>
      <c r="B50" s="61" t="s">
        <v>144</v>
      </c>
      <c r="C50" s="63"/>
      <c r="D50" s="63">
        <f t="shared" si="3"/>
        <v>10746030.725830838</v>
      </c>
      <c r="E50" s="63">
        <f t="shared" si="17"/>
        <v>8976555.1007019803</v>
      </c>
      <c r="F50" s="122">
        <f t="shared" si="18"/>
        <v>223875.64012147579</v>
      </c>
      <c r="G50" s="63">
        <f t="shared" si="13"/>
        <v>-671626.92036442738</v>
      </c>
      <c r="H50" s="63">
        <f t="shared" si="14"/>
        <v>-83953.365045553423</v>
      </c>
      <c r="I50" s="63">
        <f t="shared" si="15"/>
        <v>8892601.7356564272</v>
      </c>
      <c r="J50" s="63">
        <f t="shared" si="1"/>
        <v>47013.884425509917</v>
      </c>
      <c r="K50" s="68">
        <f t="shared" si="2"/>
        <v>-2115624.7991479468</v>
      </c>
      <c r="L50" s="63">
        <f t="shared" si="16"/>
        <v>-1867446.3644878499</v>
      </c>
      <c r="M50" s="69">
        <f t="shared" si="11"/>
        <v>7025155.3711685771</v>
      </c>
      <c r="N50" s="64">
        <f t="shared" si="12"/>
        <v>7958779.006318463</v>
      </c>
      <c r="O50" s="128"/>
    </row>
    <row r="51" spans="1:15" x14ac:dyDescent="0.2">
      <c r="A51" s="61">
        <v>45351</v>
      </c>
      <c r="B51" s="61" t="s">
        <v>144</v>
      </c>
      <c r="C51" s="63"/>
      <c r="D51" s="63">
        <f t="shared" si="3"/>
        <v>10746030.725830838</v>
      </c>
      <c r="E51" s="63">
        <f t="shared" si="17"/>
        <v>9347921.7285892684</v>
      </c>
      <c r="F51" s="122">
        <f t="shared" si="18"/>
        <v>223875.64012147579</v>
      </c>
      <c r="G51" s="63">
        <f t="shared" si="13"/>
        <v>-895502.56048590317</v>
      </c>
      <c r="H51" s="63">
        <f t="shared" si="14"/>
        <v>-149250.42674765052</v>
      </c>
      <c r="I51" s="63">
        <f t="shared" si="15"/>
        <v>9198671.3018416185</v>
      </c>
      <c r="J51" s="63">
        <f t="shared" si="1"/>
        <v>47013.884425509917</v>
      </c>
      <c r="K51" s="68">
        <f t="shared" si="2"/>
        <v>-2068610.9147224368</v>
      </c>
      <c r="L51" s="63">
        <f t="shared" si="16"/>
        <v>-1931720.9733867403</v>
      </c>
      <c r="M51" s="69">
        <f t="shared" si="11"/>
        <v>7266950.3284548782</v>
      </c>
      <c r="N51" s="64">
        <f t="shared" si="12"/>
        <v>7781917.2506224979</v>
      </c>
      <c r="O51" s="128"/>
    </row>
    <row r="52" spans="1:15" x14ac:dyDescent="0.2">
      <c r="A52" s="61">
        <v>45382</v>
      </c>
      <c r="B52" s="61" t="s">
        <v>144</v>
      </c>
      <c r="C52" s="63"/>
      <c r="D52" s="63">
        <f t="shared" si="3"/>
        <v>10746030.725830838</v>
      </c>
      <c r="E52" s="63">
        <f t="shared" si="17"/>
        <v>9675602.2346773762</v>
      </c>
      <c r="F52" s="122">
        <f t="shared" si="18"/>
        <v>223875.64012147579</v>
      </c>
      <c r="G52" s="63">
        <f t="shared" si="13"/>
        <v>-1119378.200607379</v>
      </c>
      <c r="H52" s="63">
        <f t="shared" si="14"/>
        <v>-233203.79179320394</v>
      </c>
      <c r="I52" s="63">
        <f t="shared" si="15"/>
        <v>9442398.4428841714</v>
      </c>
      <c r="J52" s="63">
        <f t="shared" si="1"/>
        <v>47013.884425509917</v>
      </c>
      <c r="K52" s="68">
        <f t="shared" si="2"/>
        <v>-2021597.0302969269</v>
      </c>
      <c r="L52" s="63">
        <f t="shared" si="16"/>
        <v>-1982903.6730056759</v>
      </c>
      <c r="M52" s="69">
        <f t="shared" si="11"/>
        <v>7459494.7698784955</v>
      </c>
      <c r="N52" s="64">
        <f t="shared" si="12"/>
        <v>7605055.4949265327</v>
      </c>
      <c r="O52" s="128"/>
    </row>
    <row r="53" spans="1:15" x14ac:dyDescent="0.2">
      <c r="A53" s="61">
        <v>45412</v>
      </c>
      <c r="B53" s="61" t="s">
        <v>144</v>
      </c>
      <c r="C53" s="63"/>
      <c r="D53" s="63">
        <f t="shared" si="3"/>
        <v>10746030.725830838</v>
      </c>
      <c r="E53" s="63">
        <f t="shared" si="17"/>
        <v>9959593.4670242127</v>
      </c>
      <c r="F53" s="122">
        <f t="shared" si="18"/>
        <v>223875.64012147579</v>
      </c>
      <c r="G53" s="63">
        <f t="shared" si="13"/>
        <v>-1343253.8407288548</v>
      </c>
      <c r="H53" s="63">
        <f t="shared" si="14"/>
        <v>-335813.46018221369</v>
      </c>
      <c r="I53" s="63">
        <f t="shared" si="15"/>
        <v>9623780.0068419985</v>
      </c>
      <c r="J53" s="63">
        <f t="shared" si="1"/>
        <v>47013.884425509917</v>
      </c>
      <c r="K53" s="68">
        <f t="shared" si="2"/>
        <v>-1974583.1458714169</v>
      </c>
      <c r="L53" s="63">
        <f t="shared" si="16"/>
        <v>-2020993.8014368198</v>
      </c>
      <c r="M53" s="69">
        <f t="shared" si="11"/>
        <v>7602786.2054051785</v>
      </c>
      <c r="N53" s="64">
        <f t="shared" si="12"/>
        <v>7428193.7392305667</v>
      </c>
      <c r="O53" s="128"/>
    </row>
    <row r="54" spans="1:15" x14ac:dyDescent="0.2">
      <c r="A54" s="61">
        <v>45443</v>
      </c>
      <c r="B54" s="61" t="s">
        <v>144</v>
      </c>
      <c r="C54" s="63"/>
      <c r="D54" s="63">
        <f t="shared" si="3"/>
        <v>10746030.725830838</v>
      </c>
      <c r="E54" s="63">
        <f t="shared" si="17"/>
        <v>10199893.74054846</v>
      </c>
      <c r="F54" s="122">
        <f t="shared" si="18"/>
        <v>223875.64012147579</v>
      </c>
      <c r="G54" s="63">
        <f t="shared" si="13"/>
        <v>-1567129.4808503306</v>
      </c>
      <c r="H54" s="63">
        <f t="shared" si="14"/>
        <v>-457079.43191467971</v>
      </c>
      <c r="I54" s="63">
        <f t="shared" si="15"/>
        <v>9742814.3086337801</v>
      </c>
      <c r="J54" s="63">
        <f t="shared" si="1"/>
        <v>47013.884425509917</v>
      </c>
      <c r="K54" s="68">
        <f t="shared" si="2"/>
        <v>-1927569.2614459069</v>
      </c>
      <c r="L54" s="63">
        <f t="shared" si="16"/>
        <v>-2045991.0048130937</v>
      </c>
      <c r="M54" s="69">
        <f t="shared" si="11"/>
        <v>7696823.3038206864</v>
      </c>
      <c r="N54" s="64">
        <f t="shared" si="12"/>
        <v>7251331.9835345997</v>
      </c>
      <c r="O54" s="128"/>
    </row>
    <row r="55" spans="1:15" x14ac:dyDescent="0.2">
      <c r="A55" s="61">
        <v>45473</v>
      </c>
      <c r="B55" s="61" t="s">
        <v>144</v>
      </c>
      <c r="C55" s="63"/>
      <c r="D55" s="63">
        <f t="shared" si="3"/>
        <v>10746030.725830838</v>
      </c>
      <c r="E55" s="63">
        <f t="shared" si="17"/>
        <v>10396503.055250116</v>
      </c>
      <c r="F55" s="122">
        <f t="shared" si="18"/>
        <v>223875.64012147579</v>
      </c>
      <c r="G55" s="63">
        <f t="shared" si="13"/>
        <v>-1791005.1209718063</v>
      </c>
      <c r="H55" s="63">
        <f t="shared" si="14"/>
        <v>-597001.70699060208</v>
      </c>
      <c r="I55" s="63">
        <f t="shared" si="15"/>
        <v>9799501.3482595142</v>
      </c>
      <c r="J55" s="63">
        <f t="shared" si="1"/>
        <v>47013.884425509917</v>
      </c>
      <c r="K55" s="68">
        <f t="shared" si="2"/>
        <v>-1880555.377020397</v>
      </c>
      <c r="L55" s="63">
        <f t="shared" si="16"/>
        <v>-2057895.2831344977</v>
      </c>
      <c r="M55" s="69">
        <f t="shared" si="11"/>
        <v>7741606.0651250165</v>
      </c>
      <c r="N55" s="64">
        <f t="shared" si="12"/>
        <v>7074470.2278386345</v>
      </c>
      <c r="O55" s="128"/>
    </row>
    <row r="56" spans="1:15" x14ac:dyDescent="0.2">
      <c r="A56" s="61">
        <v>45504</v>
      </c>
      <c r="B56" s="61" t="s">
        <v>144</v>
      </c>
      <c r="C56" s="63"/>
      <c r="D56" s="63">
        <f t="shared" si="3"/>
        <v>10746030.725830838</v>
      </c>
      <c r="E56" s="63">
        <f t="shared" si="17"/>
        <v>10549421.411129182</v>
      </c>
      <c r="F56" s="122">
        <f t="shared" si="18"/>
        <v>223875.64012147579</v>
      </c>
      <c r="G56" s="63">
        <f t="shared" si="13"/>
        <v>-2014880.7610932821</v>
      </c>
      <c r="H56" s="63">
        <f t="shared" si="14"/>
        <v>-755580.2854099808</v>
      </c>
      <c r="I56" s="63">
        <f t="shared" si="15"/>
        <v>9793841.1257192008</v>
      </c>
      <c r="J56" s="63">
        <f t="shared" si="1"/>
        <v>47013.884425509917</v>
      </c>
      <c r="K56" s="68">
        <f t="shared" si="2"/>
        <v>-1833541.492594887</v>
      </c>
      <c r="L56" s="63">
        <f t="shared" si="16"/>
        <v>-2056706.6364010321</v>
      </c>
      <c r="M56" s="69">
        <f t="shared" si="11"/>
        <v>7737134.4893181687</v>
      </c>
      <c r="N56" s="64">
        <f t="shared" si="12"/>
        <v>6897608.4721426703</v>
      </c>
      <c r="O56" s="128"/>
    </row>
    <row r="57" spans="1:15" x14ac:dyDescent="0.2">
      <c r="A57" s="61">
        <v>45535</v>
      </c>
      <c r="B57" s="61" t="s">
        <v>144</v>
      </c>
      <c r="C57" s="63"/>
      <c r="D57" s="63">
        <f t="shared" si="3"/>
        <v>10746030.725830838</v>
      </c>
      <c r="E57" s="63">
        <f t="shared" si="17"/>
        <v>10658648.808185657</v>
      </c>
      <c r="F57" s="122">
        <f t="shared" si="18"/>
        <v>223875.64012147579</v>
      </c>
      <c r="G57" s="63">
        <f t="shared" si="13"/>
        <v>-2238756.4012147579</v>
      </c>
      <c r="H57" s="63">
        <f t="shared" si="14"/>
        <v>-932815.16717281565</v>
      </c>
      <c r="I57" s="63">
        <f t="shared" si="15"/>
        <v>9725833.6410128418</v>
      </c>
      <c r="J57" s="63">
        <f t="shared" si="1"/>
        <v>47013.884425509917</v>
      </c>
      <c r="K57" s="68">
        <f t="shared" si="2"/>
        <v>-1786527.6081693771</v>
      </c>
      <c r="L57" s="63">
        <f t="shared" si="16"/>
        <v>-2042425.0646126969</v>
      </c>
      <c r="M57" s="69">
        <f t="shared" si="11"/>
        <v>7683408.576400145</v>
      </c>
      <c r="N57" s="64">
        <f t="shared" si="12"/>
        <v>6720746.7164467033</v>
      </c>
      <c r="O57" s="128"/>
    </row>
    <row r="58" spans="1:15" x14ac:dyDescent="0.2">
      <c r="A58" s="61">
        <v>45565</v>
      </c>
      <c r="B58" s="61" t="s">
        <v>144</v>
      </c>
      <c r="C58" s="63"/>
      <c r="D58" s="63">
        <f t="shared" si="3"/>
        <v>10746030.725830838</v>
      </c>
      <c r="E58" s="63">
        <f t="shared" si="17"/>
        <v>10724185.246419543</v>
      </c>
      <c r="F58" s="122">
        <f t="shared" si="18"/>
        <v>223875.64012147579</v>
      </c>
      <c r="G58" s="63">
        <f t="shared" si="13"/>
        <v>-2462632.0413362337</v>
      </c>
      <c r="H58" s="63">
        <f t="shared" si="14"/>
        <v>-1128706.3522791071</v>
      </c>
      <c r="I58" s="63">
        <f t="shared" si="15"/>
        <v>9595478.8941404372</v>
      </c>
      <c r="J58" s="63">
        <f t="shared" si="1"/>
        <v>47013.884425509917</v>
      </c>
      <c r="K58" s="68">
        <f t="shared" si="2"/>
        <v>-1739513.7237438671</v>
      </c>
      <c r="L58" s="63">
        <f t="shared" si="16"/>
        <v>-2015050.567769492</v>
      </c>
      <c r="M58" s="69">
        <f t="shared" si="11"/>
        <v>7580428.3263709452</v>
      </c>
      <c r="N58" s="64">
        <f t="shared" si="12"/>
        <v>6543884.9607507372</v>
      </c>
      <c r="O58" s="128"/>
    </row>
    <row r="59" spans="1:15" ht="13.5" thickBot="1" x14ac:dyDescent="0.25">
      <c r="A59" s="61">
        <v>45596</v>
      </c>
      <c r="B59" s="61" t="s">
        <v>144</v>
      </c>
      <c r="C59" s="63"/>
      <c r="D59" s="63">
        <f t="shared" si="3"/>
        <v>10746030.725830838</v>
      </c>
      <c r="E59" s="199">
        <f t="shared" si="17"/>
        <v>10746030.725830838</v>
      </c>
      <c r="F59" s="122">
        <f t="shared" si="18"/>
        <v>223875.64012147579</v>
      </c>
      <c r="G59" s="63">
        <f t="shared" si="13"/>
        <v>-2686507.6814577095</v>
      </c>
      <c r="H59" s="199">
        <f>(G47+G59+SUM(G48:G58)*2)/24</f>
        <v>-1343253.8407288545</v>
      </c>
      <c r="I59" s="63">
        <f t="shared" si="15"/>
        <v>9402776.8851019833</v>
      </c>
      <c r="J59" s="63">
        <f t="shared" si="1"/>
        <v>47013.884425509917</v>
      </c>
      <c r="K59" s="68">
        <f t="shared" si="2"/>
        <v>-1692499.8393183572</v>
      </c>
      <c r="L59" s="63">
        <f t="shared" si="16"/>
        <v>-1974583.1458714167</v>
      </c>
      <c r="M59" s="217">
        <f t="shared" si="11"/>
        <v>7428193.7392305667</v>
      </c>
      <c r="N59" s="64">
        <f t="shared" si="12"/>
        <v>6367023.2050547712</v>
      </c>
      <c r="O59" s="128"/>
    </row>
    <row r="60" spans="1:15" x14ac:dyDescent="0.2">
      <c r="A60" s="134">
        <v>45626</v>
      </c>
      <c r="B60" s="141" t="s">
        <v>145</v>
      </c>
      <c r="C60" s="136"/>
      <c r="D60" s="136">
        <f t="shared" si="3"/>
        <v>10746030.725830838</v>
      </c>
      <c r="E60" s="136">
        <f t="shared" si="17"/>
        <v>10746030.725830838</v>
      </c>
      <c r="F60" s="148">
        <f t="shared" si="18"/>
        <v>223875.64012147579</v>
      </c>
      <c r="G60" s="136">
        <f t="shared" si="13"/>
        <v>-2910383.3215791853</v>
      </c>
      <c r="H60" s="136">
        <f t="shared" si="14"/>
        <v>-1567129.4808503306</v>
      </c>
      <c r="I60" s="136">
        <f t="shared" si="15"/>
        <v>9178901.2449805066</v>
      </c>
      <c r="J60" s="136">
        <f t="shared" si="1"/>
        <v>47013.884425509917</v>
      </c>
      <c r="K60" s="138">
        <f t="shared" si="2"/>
        <v>-1645485.9548928472</v>
      </c>
      <c r="L60" s="136">
        <f t="shared" si="16"/>
        <v>-1927569.2614459069</v>
      </c>
      <c r="M60" s="139">
        <f t="shared" si="11"/>
        <v>7251331.9835345997</v>
      </c>
      <c r="N60" s="140">
        <f t="shared" si="12"/>
        <v>6190161.449358806</v>
      </c>
      <c r="O60" s="128"/>
    </row>
    <row r="61" spans="1:15" x14ac:dyDescent="0.2">
      <c r="A61" s="61">
        <v>45657</v>
      </c>
      <c r="B61" s="30" t="s">
        <v>145</v>
      </c>
      <c r="C61" s="63"/>
      <c r="D61" s="63">
        <f t="shared" si="3"/>
        <v>10746030.725830838</v>
      </c>
      <c r="E61" s="63">
        <f t="shared" si="17"/>
        <v>10746030.725830838</v>
      </c>
      <c r="F61" s="122">
        <f t="shared" si="18"/>
        <v>223875.64012147579</v>
      </c>
      <c r="G61" s="63">
        <f t="shared" si="13"/>
        <v>-3134258.9617006611</v>
      </c>
      <c r="H61" s="63">
        <f t="shared" si="14"/>
        <v>-1791005.1209718063</v>
      </c>
      <c r="I61" s="63">
        <f t="shared" si="15"/>
        <v>8955025.6048590317</v>
      </c>
      <c r="J61" s="63">
        <f t="shared" si="1"/>
        <v>47013.884425509917</v>
      </c>
      <c r="K61" s="68">
        <f t="shared" si="2"/>
        <v>-1598472.0704673373</v>
      </c>
      <c r="L61" s="63">
        <f t="shared" si="16"/>
        <v>-1880555.377020397</v>
      </c>
      <c r="M61" s="69">
        <f t="shared" si="11"/>
        <v>7074470.2278386345</v>
      </c>
      <c r="N61" s="64">
        <f t="shared" si="12"/>
        <v>6013299.6936628399</v>
      </c>
      <c r="O61" s="128"/>
    </row>
    <row r="62" spans="1:15" x14ac:dyDescent="0.2">
      <c r="A62" s="61">
        <v>45688</v>
      </c>
      <c r="B62" s="30" t="s">
        <v>145</v>
      </c>
      <c r="C62" s="63"/>
      <c r="D62" s="63">
        <f t="shared" si="3"/>
        <v>10746030.725830838</v>
      </c>
      <c r="E62" s="63">
        <f t="shared" si="17"/>
        <v>10746030.725830838</v>
      </c>
      <c r="F62" s="122">
        <f t="shared" si="18"/>
        <v>223875.64012147579</v>
      </c>
      <c r="G62" s="63">
        <f t="shared" si="13"/>
        <v>-3358134.6018221369</v>
      </c>
      <c r="H62" s="63">
        <f t="shared" si="14"/>
        <v>-2014880.7610932819</v>
      </c>
      <c r="I62" s="63">
        <f t="shared" si="15"/>
        <v>8731149.9647375569</v>
      </c>
      <c r="J62" s="63">
        <f t="shared" si="1"/>
        <v>47013.884425509917</v>
      </c>
      <c r="K62" s="68">
        <f t="shared" si="2"/>
        <v>-1551458.1860418273</v>
      </c>
      <c r="L62" s="63">
        <f t="shared" si="16"/>
        <v>-1833541.4925948868</v>
      </c>
      <c r="M62" s="69">
        <f t="shared" si="11"/>
        <v>6897608.4721426703</v>
      </c>
      <c r="N62" s="64">
        <f t="shared" si="12"/>
        <v>5836437.9379668739</v>
      </c>
    </row>
    <row r="63" spans="1:15" x14ac:dyDescent="0.2">
      <c r="A63" s="61">
        <v>45716</v>
      </c>
      <c r="B63" s="30" t="s">
        <v>145</v>
      </c>
      <c r="C63" s="63"/>
      <c r="D63" s="63">
        <f t="shared" si="3"/>
        <v>10746030.725830838</v>
      </c>
      <c r="E63" s="63">
        <f t="shared" si="17"/>
        <v>10746030.725830838</v>
      </c>
      <c r="F63" s="122">
        <f t="shared" si="18"/>
        <v>223875.64012147579</v>
      </c>
      <c r="G63" s="63">
        <f t="shared" si="13"/>
        <v>-3582010.2419436127</v>
      </c>
      <c r="H63" s="63">
        <f t="shared" si="14"/>
        <v>-2238756.4012147579</v>
      </c>
      <c r="I63" s="63">
        <f t="shared" si="15"/>
        <v>8507274.3246160802</v>
      </c>
      <c r="J63" s="63">
        <f t="shared" si="1"/>
        <v>47013.884425509917</v>
      </c>
      <c r="K63" s="68">
        <f t="shared" si="2"/>
        <v>-1504444.3016163174</v>
      </c>
      <c r="L63" s="63">
        <f t="shared" si="16"/>
        <v>-1786527.6081693771</v>
      </c>
      <c r="M63" s="69">
        <f t="shared" si="11"/>
        <v>6720746.7164467033</v>
      </c>
      <c r="N63" s="64">
        <f t="shared" si="12"/>
        <v>5659576.1822709078</v>
      </c>
    </row>
    <row r="64" spans="1:15" x14ac:dyDescent="0.2">
      <c r="A64" s="61">
        <v>45747</v>
      </c>
      <c r="B64" s="30" t="s">
        <v>145</v>
      </c>
      <c r="C64" s="63"/>
      <c r="D64" s="63">
        <f t="shared" si="3"/>
        <v>10746030.725830838</v>
      </c>
      <c r="E64" s="63">
        <f t="shared" si="17"/>
        <v>10746030.725830838</v>
      </c>
      <c r="F64" s="122">
        <f t="shared" si="18"/>
        <v>223875.64012147579</v>
      </c>
      <c r="G64" s="63">
        <f t="shared" si="13"/>
        <v>-3805885.8820650885</v>
      </c>
      <c r="H64" s="63">
        <f t="shared" si="14"/>
        <v>-2462632.0413362337</v>
      </c>
      <c r="I64" s="63">
        <f t="shared" si="15"/>
        <v>8283398.6844946044</v>
      </c>
      <c r="J64" s="63">
        <f t="shared" si="1"/>
        <v>47013.884425509917</v>
      </c>
      <c r="K64" s="68">
        <f t="shared" si="2"/>
        <v>-1457430.4171908074</v>
      </c>
      <c r="L64" s="63">
        <f t="shared" si="16"/>
        <v>-1739513.7237438674</v>
      </c>
      <c r="M64" s="69">
        <f t="shared" si="11"/>
        <v>6543884.9607507372</v>
      </c>
      <c r="N64" s="64">
        <f t="shared" si="12"/>
        <v>5482714.4265749417</v>
      </c>
    </row>
    <row r="65" spans="1:14" x14ac:dyDescent="0.2">
      <c r="A65" s="61">
        <v>45777</v>
      </c>
      <c r="B65" s="30" t="s">
        <v>145</v>
      </c>
      <c r="C65" s="63"/>
      <c r="D65" s="63">
        <f t="shared" si="3"/>
        <v>10746030.725830838</v>
      </c>
      <c r="E65" s="63">
        <f t="shared" si="17"/>
        <v>10746030.725830838</v>
      </c>
      <c r="F65" s="122">
        <f t="shared" si="18"/>
        <v>223875.64012147579</v>
      </c>
      <c r="G65" s="63">
        <f t="shared" si="13"/>
        <v>-4029761.5221865643</v>
      </c>
      <c r="H65" s="63">
        <f t="shared" si="14"/>
        <v>-2686507.6814577091</v>
      </c>
      <c r="I65" s="63">
        <f t="shared" si="15"/>
        <v>8059523.0443731286</v>
      </c>
      <c r="J65" s="63">
        <f t="shared" si="1"/>
        <v>47013.884425509917</v>
      </c>
      <c r="K65" s="68">
        <f t="shared" si="2"/>
        <v>-1410416.5327652975</v>
      </c>
      <c r="L65" s="63">
        <f t="shared" si="16"/>
        <v>-1692499.8393183574</v>
      </c>
      <c r="M65" s="69">
        <f t="shared" si="11"/>
        <v>6367023.2050547712</v>
      </c>
      <c r="N65" s="64">
        <f t="shared" si="12"/>
        <v>5305852.6708789766</v>
      </c>
    </row>
    <row r="66" spans="1:14" x14ac:dyDescent="0.2">
      <c r="A66" s="61">
        <v>45808</v>
      </c>
      <c r="B66" s="30" t="s">
        <v>145</v>
      </c>
      <c r="C66" s="63"/>
      <c r="D66" s="63">
        <f t="shared" si="3"/>
        <v>10746030.725830838</v>
      </c>
      <c r="E66" s="63">
        <f t="shared" si="17"/>
        <v>10746030.725830838</v>
      </c>
      <c r="F66" s="122">
        <f t="shared" si="18"/>
        <v>223875.64012147579</v>
      </c>
      <c r="G66" s="63">
        <f t="shared" si="13"/>
        <v>-4253637.1623080401</v>
      </c>
      <c r="H66" s="63">
        <f t="shared" si="14"/>
        <v>-2910383.3215791858</v>
      </c>
      <c r="I66" s="63">
        <f t="shared" si="15"/>
        <v>7835647.4042516518</v>
      </c>
      <c r="J66" s="63">
        <f t="shared" si="1"/>
        <v>47013.884425509917</v>
      </c>
      <c r="K66" s="68">
        <f t="shared" si="2"/>
        <v>-1363402.6483397875</v>
      </c>
      <c r="L66" s="63">
        <f t="shared" si="16"/>
        <v>-1645485.9548928475</v>
      </c>
      <c r="M66" s="69">
        <f t="shared" si="11"/>
        <v>6190161.4493588042</v>
      </c>
      <c r="N66" s="64">
        <f t="shared" si="12"/>
        <v>5128990.9151830105</v>
      </c>
    </row>
    <row r="67" spans="1:14" x14ac:dyDescent="0.2">
      <c r="A67" s="61">
        <v>45838</v>
      </c>
      <c r="B67" s="30" t="s">
        <v>145</v>
      </c>
      <c r="C67" s="63"/>
      <c r="D67" s="63">
        <f t="shared" si="3"/>
        <v>10746030.725830838</v>
      </c>
      <c r="E67" s="63">
        <f t="shared" si="17"/>
        <v>10746030.725830838</v>
      </c>
      <c r="F67" s="122">
        <f t="shared" si="18"/>
        <v>223875.64012147579</v>
      </c>
      <c r="G67" s="63">
        <f t="shared" si="13"/>
        <v>-4477512.8024295159</v>
      </c>
      <c r="H67" s="63">
        <f t="shared" si="14"/>
        <v>-3134258.9617006611</v>
      </c>
      <c r="I67" s="63">
        <f t="shared" si="15"/>
        <v>7611771.764130177</v>
      </c>
      <c r="J67" s="63">
        <f t="shared" si="1"/>
        <v>47013.884425509917</v>
      </c>
      <c r="K67" s="68">
        <f t="shared" si="2"/>
        <v>-1316388.7639142775</v>
      </c>
      <c r="L67" s="63">
        <f t="shared" si="16"/>
        <v>-1598472.0704673373</v>
      </c>
      <c r="M67" s="69">
        <f t="shared" si="11"/>
        <v>6013299.6936628399</v>
      </c>
      <c r="N67" s="64">
        <f t="shared" si="12"/>
        <v>4952129.1594870444</v>
      </c>
    </row>
    <row r="68" spans="1:14" x14ac:dyDescent="0.2">
      <c r="A68" s="61">
        <v>45869</v>
      </c>
      <c r="B68" s="30" t="s">
        <v>145</v>
      </c>
      <c r="C68" s="63"/>
      <c r="D68" s="63">
        <f t="shared" si="3"/>
        <v>10746030.725830838</v>
      </c>
      <c r="E68" s="63">
        <f t="shared" si="17"/>
        <v>10746030.725830838</v>
      </c>
      <c r="F68" s="122">
        <f t="shared" si="18"/>
        <v>223875.64012147579</v>
      </c>
      <c r="G68" s="63">
        <f t="shared" si="13"/>
        <v>-4701388.4425509917</v>
      </c>
      <c r="H68" s="63">
        <f t="shared" si="14"/>
        <v>-3358134.6018221374</v>
      </c>
      <c r="I68" s="63">
        <f t="shared" si="15"/>
        <v>7387896.1240087003</v>
      </c>
      <c r="J68" s="63">
        <f t="shared" si="1"/>
        <v>47013.884425509917</v>
      </c>
      <c r="K68" s="68">
        <f t="shared" si="2"/>
        <v>-1269374.8794887676</v>
      </c>
      <c r="L68" s="63">
        <f t="shared" si="16"/>
        <v>-1551458.1860418273</v>
      </c>
      <c r="M68" s="69">
        <f t="shared" si="11"/>
        <v>5836437.9379668729</v>
      </c>
      <c r="N68" s="64">
        <f t="shared" si="12"/>
        <v>4775267.4037910793</v>
      </c>
    </row>
    <row r="69" spans="1:14" x14ac:dyDescent="0.2">
      <c r="A69" s="61">
        <v>45900</v>
      </c>
      <c r="B69" s="30" t="s">
        <v>145</v>
      </c>
      <c r="C69" s="63"/>
      <c r="D69" s="63">
        <f t="shared" si="3"/>
        <v>10746030.725830838</v>
      </c>
      <c r="E69" s="63">
        <f t="shared" si="17"/>
        <v>10746030.725830838</v>
      </c>
      <c r="F69" s="122">
        <f t="shared" si="18"/>
        <v>223875.64012147579</v>
      </c>
      <c r="G69" s="63">
        <f t="shared" si="13"/>
        <v>-4925264.0826724675</v>
      </c>
      <c r="H69" s="63">
        <f t="shared" si="14"/>
        <v>-3582010.2419436127</v>
      </c>
      <c r="I69" s="63">
        <f t="shared" si="15"/>
        <v>7164020.4838872254</v>
      </c>
      <c r="J69" s="63">
        <f t="shared" si="1"/>
        <v>47013.884425509917</v>
      </c>
      <c r="K69" s="68">
        <f t="shared" si="2"/>
        <v>-1222360.9950632576</v>
      </c>
      <c r="L69" s="63">
        <f t="shared" si="16"/>
        <v>-1504444.3016163174</v>
      </c>
      <c r="M69" s="69">
        <f t="shared" si="11"/>
        <v>5659576.1822709078</v>
      </c>
      <c r="N69" s="64">
        <f t="shared" si="12"/>
        <v>4598405.6480951132</v>
      </c>
    </row>
    <row r="70" spans="1:14" x14ac:dyDescent="0.2">
      <c r="A70" s="61">
        <v>45930</v>
      </c>
      <c r="B70" s="30" t="s">
        <v>145</v>
      </c>
      <c r="C70" s="63"/>
      <c r="D70" s="63">
        <f t="shared" si="3"/>
        <v>10746030.725830838</v>
      </c>
      <c r="E70" s="63">
        <f t="shared" si="17"/>
        <v>10746030.725830838</v>
      </c>
      <c r="F70" s="122">
        <f t="shared" si="18"/>
        <v>223875.64012147579</v>
      </c>
      <c r="G70" s="63">
        <f t="shared" si="13"/>
        <v>-5149139.7227939432</v>
      </c>
      <c r="H70" s="63">
        <f t="shared" si="14"/>
        <v>-3805885.882065089</v>
      </c>
      <c r="I70" s="63">
        <f t="shared" si="15"/>
        <v>6940144.8437657487</v>
      </c>
      <c r="J70" s="63">
        <f t="shared" si="1"/>
        <v>47013.884425509917</v>
      </c>
      <c r="K70" s="68">
        <f t="shared" si="2"/>
        <v>-1175347.1106377477</v>
      </c>
      <c r="L70" s="63">
        <f t="shared" si="16"/>
        <v>-1457430.4171908076</v>
      </c>
      <c r="M70" s="69">
        <f t="shared" si="11"/>
        <v>5482714.4265749408</v>
      </c>
      <c r="N70" s="64">
        <f t="shared" si="12"/>
        <v>4421543.8923991472</v>
      </c>
    </row>
    <row r="71" spans="1:14" ht="13.5" thickBot="1" x14ac:dyDescent="0.25">
      <c r="A71" s="61">
        <v>45961</v>
      </c>
      <c r="B71" s="30" t="s">
        <v>145</v>
      </c>
      <c r="C71" s="63"/>
      <c r="D71" s="63">
        <f t="shared" si="3"/>
        <v>10746030.725830838</v>
      </c>
      <c r="E71" s="63">
        <f t="shared" si="17"/>
        <v>10746030.725830838</v>
      </c>
      <c r="F71" s="122">
        <f t="shared" si="18"/>
        <v>223875.64012147579</v>
      </c>
      <c r="G71" s="63">
        <f t="shared" si="13"/>
        <v>-5373015.362915419</v>
      </c>
      <c r="H71" s="63">
        <f t="shared" si="14"/>
        <v>-4029761.5221865647</v>
      </c>
      <c r="I71" s="63">
        <f t="shared" si="15"/>
        <v>6716269.2036442738</v>
      </c>
      <c r="J71" s="63">
        <f t="shared" si="1"/>
        <v>47013.884425509917</v>
      </c>
      <c r="K71" s="68">
        <f t="shared" si="2"/>
        <v>-1128333.2262122377</v>
      </c>
      <c r="L71" s="63">
        <f t="shared" si="16"/>
        <v>-1410416.5327652979</v>
      </c>
      <c r="M71" s="69">
        <f t="shared" si="11"/>
        <v>5305852.6708789757</v>
      </c>
      <c r="N71" s="64">
        <f t="shared" si="12"/>
        <v>4244682.1367031811</v>
      </c>
    </row>
    <row r="72" spans="1:14" x14ac:dyDescent="0.2">
      <c r="A72" s="134">
        <v>45991</v>
      </c>
      <c r="B72" s="141" t="s">
        <v>146</v>
      </c>
      <c r="C72" s="136"/>
      <c r="D72" s="136">
        <f t="shared" si="3"/>
        <v>10746030.725830838</v>
      </c>
      <c r="E72" s="136">
        <f t="shared" si="17"/>
        <v>10746030.725830838</v>
      </c>
      <c r="F72" s="148">
        <f t="shared" si="18"/>
        <v>223875.64012147579</v>
      </c>
      <c r="G72" s="136">
        <f t="shared" si="13"/>
        <v>-5596891.0030368948</v>
      </c>
      <c r="H72" s="136">
        <f t="shared" si="14"/>
        <v>-4253637.1623080401</v>
      </c>
      <c r="I72" s="136">
        <f t="shared" si="15"/>
        <v>6492393.563522798</v>
      </c>
      <c r="J72" s="136">
        <f t="shared" si="1"/>
        <v>47013.884425509917</v>
      </c>
      <c r="K72" s="138">
        <f t="shared" si="2"/>
        <v>-1081319.3417867278</v>
      </c>
      <c r="L72" s="136">
        <f t="shared" si="16"/>
        <v>-1363402.6483397877</v>
      </c>
      <c r="M72" s="139">
        <f t="shared" si="11"/>
        <v>5128990.9151830105</v>
      </c>
      <c r="N72" s="140">
        <f t="shared" si="12"/>
        <v>4067820.3810072155</v>
      </c>
    </row>
    <row r="73" spans="1:14" x14ac:dyDescent="0.2">
      <c r="A73" s="61">
        <v>46022</v>
      </c>
      <c r="B73" s="30" t="s">
        <v>146</v>
      </c>
      <c r="C73" s="63"/>
      <c r="D73" s="63">
        <f t="shared" si="3"/>
        <v>10746030.725830838</v>
      </c>
      <c r="E73" s="63">
        <f t="shared" si="17"/>
        <v>10746030.725830838</v>
      </c>
      <c r="F73" s="122">
        <f t="shared" si="18"/>
        <v>223875.64012147579</v>
      </c>
      <c r="G73" s="63">
        <f t="shared" si="13"/>
        <v>-5820766.6431583706</v>
      </c>
      <c r="H73" s="63">
        <f t="shared" si="14"/>
        <v>-4477512.8024295159</v>
      </c>
      <c r="I73" s="63">
        <f t="shared" si="15"/>
        <v>6268517.9234013222</v>
      </c>
      <c r="J73" s="63">
        <f t="shared" si="1"/>
        <v>47013.884425509917</v>
      </c>
      <c r="K73" s="68">
        <f t="shared" si="2"/>
        <v>-1034305.4573612178</v>
      </c>
      <c r="L73" s="63">
        <f t="shared" si="16"/>
        <v>-1316388.7639142775</v>
      </c>
      <c r="M73" s="69">
        <f t="shared" si="11"/>
        <v>4952129.1594870444</v>
      </c>
      <c r="N73" s="64">
        <f t="shared" si="12"/>
        <v>3890958.6253112499</v>
      </c>
    </row>
    <row r="74" spans="1:14" x14ac:dyDescent="0.2">
      <c r="A74" s="61">
        <v>46053</v>
      </c>
      <c r="B74" s="30" t="s">
        <v>146</v>
      </c>
      <c r="C74" s="30"/>
      <c r="D74" s="63">
        <f t="shared" si="3"/>
        <v>10746030.725830838</v>
      </c>
      <c r="E74" s="63">
        <f t="shared" si="17"/>
        <v>10746030.725830838</v>
      </c>
      <c r="F74" s="122">
        <f t="shared" si="18"/>
        <v>223875.64012147579</v>
      </c>
      <c r="G74" s="63">
        <f t="shared" si="13"/>
        <v>-6044642.2832798464</v>
      </c>
      <c r="H74" s="63">
        <f t="shared" si="14"/>
        <v>-4701388.4425509917</v>
      </c>
      <c r="I74" s="63">
        <f t="shared" si="15"/>
        <v>6044642.2832798464</v>
      </c>
      <c r="J74" s="63">
        <f t="shared" si="1"/>
        <v>47013.884425509917</v>
      </c>
      <c r="K74" s="68">
        <f t="shared" si="2"/>
        <v>-987291.57293570787</v>
      </c>
      <c r="L74" s="63">
        <f t="shared" si="16"/>
        <v>-1269374.8794887676</v>
      </c>
      <c r="M74" s="69">
        <f t="shared" si="11"/>
        <v>4775267.4037910793</v>
      </c>
      <c r="N74" s="64">
        <f t="shared" si="12"/>
        <v>3714096.8696152838</v>
      </c>
    </row>
    <row r="75" spans="1:14" x14ac:dyDescent="0.2">
      <c r="A75" s="61">
        <v>46081</v>
      </c>
      <c r="B75" s="30" t="s">
        <v>146</v>
      </c>
      <c r="C75" s="30"/>
      <c r="D75" s="63">
        <f t="shared" si="3"/>
        <v>10746030.725830838</v>
      </c>
      <c r="E75" s="63">
        <f t="shared" si="17"/>
        <v>10746030.725830838</v>
      </c>
      <c r="F75" s="122">
        <f t="shared" si="18"/>
        <v>223875.64012147579</v>
      </c>
      <c r="G75" s="63">
        <f t="shared" si="13"/>
        <v>-6268517.9234013222</v>
      </c>
      <c r="H75" s="63">
        <f t="shared" si="14"/>
        <v>-4925264.0826724675</v>
      </c>
      <c r="I75" s="63">
        <f t="shared" si="15"/>
        <v>5820766.6431583706</v>
      </c>
      <c r="J75" s="63">
        <f t="shared" si="1"/>
        <v>47013.884425509917</v>
      </c>
      <c r="K75" s="68">
        <f t="shared" si="2"/>
        <v>-940277.68851019791</v>
      </c>
      <c r="L75" s="63">
        <f t="shared" si="16"/>
        <v>-1222360.9950632576</v>
      </c>
      <c r="M75" s="69">
        <f t="shared" si="11"/>
        <v>4598405.6480951132</v>
      </c>
      <c r="N75" s="64">
        <f t="shared" si="12"/>
        <v>3537235.1139193177</v>
      </c>
    </row>
    <row r="76" spans="1:14" x14ac:dyDescent="0.2">
      <c r="A76" s="61">
        <v>46112</v>
      </c>
      <c r="B76" s="30" t="s">
        <v>146</v>
      </c>
      <c r="C76" s="30"/>
      <c r="D76" s="63">
        <f t="shared" si="3"/>
        <v>10746030.725830838</v>
      </c>
      <c r="E76" s="63">
        <f t="shared" si="17"/>
        <v>10746030.725830838</v>
      </c>
      <c r="F76" s="122">
        <f t="shared" si="18"/>
        <v>223875.64012147579</v>
      </c>
      <c r="G76" s="63">
        <f t="shared" si="13"/>
        <v>-6492393.563522798</v>
      </c>
      <c r="H76" s="63">
        <f t="shared" si="14"/>
        <v>-5149139.7227939423</v>
      </c>
      <c r="I76" s="63">
        <f t="shared" si="15"/>
        <v>5596891.0030368958</v>
      </c>
      <c r="J76" s="63">
        <f t="shared" si="1"/>
        <v>47013.884425509917</v>
      </c>
      <c r="K76" s="68">
        <f t="shared" si="2"/>
        <v>-893263.80408468796</v>
      </c>
      <c r="L76" s="63">
        <f t="shared" si="16"/>
        <v>-1175347.1106377477</v>
      </c>
      <c r="M76" s="69">
        <f t="shared" si="11"/>
        <v>4421543.8923991481</v>
      </c>
      <c r="N76" s="64">
        <f t="shared" si="12"/>
        <v>3360373.3582233521</v>
      </c>
    </row>
    <row r="77" spans="1:14" x14ac:dyDescent="0.2">
      <c r="A77" s="61">
        <v>46142</v>
      </c>
      <c r="B77" s="30" t="s">
        <v>146</v>
      </c>
      <c r="C77" s="30"/>
      <c r="D77" s="63">
        <f t="shared" si="3"/>
        <v>10746030.725830838</v>
      </c>
      <c r="E77" s="63">
        <f t="shared" si="17"/>
        <v>10746030.725830838</v>
      </c>
      <c r="F77" s="122">
        <f t="shared" si="18"/>
        <v>223875.64012147579</v>
      </c>
      <c r="G77" s="63">
        <f t="shared" si="13"/>
        <v>-6716269.2036442738</v>
      </c>
      <c r="H77" s="63">
        <f t="shared" si="14"/>
        <v>-5373015.3629154181</v>
      </c>
      <c r="I77" s="63">
        <f t="shared" si="15"/>
        <v>5373015.36291542</v>
      </c>
      <c r="J77" s="63">
        <f t="shared" si="1"/>
        <v>47013.884425509917</v>
      </c>
      <c r="K77" s="68">
        <f t="shared" si="2"/>
        <v>-846249.91965917801</v>
      </c>
      <c r="L77" s="63">
        <f t="shared" si="16"/>
        <v>-1128333.2262122377</v>
      </c>
      <c r="M77" s="69">
        <f t="shared" si="11"/>
        <v>4244682.136703182</v>
      </c>
      <c r="N77" s="64">
        <f t="shared" si="12"/>
        <v>3183511.6025273865</v>
      </c>
    </row>
    <row r="78" spans="1:14" x14ac:dyDescent="0.2">
      <c r="A78" s="61">
        <v>46173</v>
      </c>
      <c r="B78" s="30" t="s">
        <v>146</v>
      </c>
      <c r="C78" s="30"/>
      <c r="D78" s="63">
        <f t="shared" si="3"/>
        <v>10746030.725830838</v>
      </c>
      <c r="E78" s="63">
        <f t="shared" si="17"/>
        <v>10746030.725830838</v>
      </c>
      <c r="F78" s="122">
        <f t="shared" si="18"/>
        <v>223875.64012147579</v>
      </c>
      <c r="G78" s="63">
        <f t="shared" si="13"/>
        <v>-6940144.8437657496</v>
      </c>
      <c r="H78" s="63">
        <f t="shared" si="14"/>
        <v>-5596891.0030368948</v>
      </c>
      <c r="I78" s="63">
        <f t="shared" si="15"/>
        <v>5149139.7227939432</v>
      </c>
      <c r="J78" s="63">
        <f t="shared" si="1"/>
        <v>47013.884425509917</v>
      </c>
      <c r="K78" s="68">
        <f t="shared" si="2"/>
        <v>-799236.03523366805</v>
      </c>
      <c r="L78" s="63">
        <f t="shared" si="16"/>
        <v>-1081319.3417867278</v>
      </c>
      <c r="M78" s="69">
        <f t="shared" si="11"/>
        <v>4067820.3810072155</v>
      </c>
      <c r="N78" s="64">
        <f t="shared" si="12"/>
        <v>3006649.8468314204</v>
      </c>
    </row>
    <row r="79" spans="1:14" x14ac:dyDescent="0.2">
      <c r="A79" s="61">
        <v>46203</v>
      </c>
      <c r="B79" s="30" t="s">
        <v>146</v>
      </c>
      <c r="D79" s="63">
        <f t="shared" si="3"/>
        <v>10746030.725830838</v>
      </c>
      <c r="E79" s="63">
        <f t="shared" si="17"/>
        <v>10746030.725830838</v>
      </c>
      <c r="F79" s="122">
        <f t="shared" si="18"/>
        <v>223875.64012147579</v>
      </c>
      <c r="G79" s="63">
        <f t="shared" si="13"/>
        <v>-7164020.4838872254</v>
      </c>
      <c r="H79" s="63">
        <f t="shared" si="14"/>
        <v>-5820766.6431583716</v>
      </c>
      <c r="I79" s="63">
        <f t="shared" si="15"/>
        <v>4925264.0826724665</v>
      </c>
      <c r="J79" s="63">
        <f t="shared" si="1"/>
        <v>47013.884425509917</v>
      </c>
      <c r="K79" s="68">
        <f t="shared" si="2"/>
        <v>-752222.1508081581</v>
      </c>
      <c r="L79" s="63">
        <f t="shared" si="16"/>
        <v>-1034305.4573612179</v>
      </c>
      <c r="M79" s="63">
        <f t="shared" si="11"/>
        <v>3890958.6253112485</v>
      </c>
      <c r="N79" s="64">
        <f t="shared" si="12"/>
        <v>2829788.0911354544</v>
      </c>
    </row>
    <row r="80" spans="1:14" x14ac:dyDescent="0.2">
      <c r="A80" s="61">
        <v>46234</v>
      </c>
      <c r="B80" s="30" t="s">
        <v>146</v>
      </c>
      <c r="D80" s="63">
        <f t="shared" si="3"/>
        <v>10746030.725830838</v>
      </c>
      <c r="E80" s="63">
        <f t="shared" si="17"/>
        <v>10746030.725830838</v>
      </c>
      <c r="F80" s="122">
        <f t="shared" si="18"/>
        <v>223875.64012147579</v>
      </c>
      <c r="G80" s="63">
        <f t="shared" si="13"/>
        <v>-7387896.1240087012</v>
      </c>
      <c r="H80" s="63">
        <f t="shared" si="14"/>
        <v>-6044642.2832798474</v>
      </c>
      <c r="I80" s="63">
        <f t="shared" si="15"/>
        <v>4701388.4425509907</v>
      </c>
      <c r="J80" s="63">
        <f t="shared" si="1"/>
        <v>47013.884425509917</v>
      </c>
      <c r="K80" s="68">
        <f t="shared" si="2"/>
        <v>-705208.26638264814</v>
      </c>
      <c r="L80" s="63">
        <f t="shared" si="16"/>
        <v>-987291.57293570798</v>
      </c>
      <c r="M80" s="63">
        <f t="shared" si="11"/>
        <v>3714096.8696152829</v>
      </c>
      <c r="N80" s="64">
        <f t="shared" si="12"/>
        <v>2652926.3354394888</v>
      </c>
    </row>
    <row r="81" spans="1:14" x14ac:dyDescent="0.2">
      <c r="A81" s="61">
        <v>46265</v>
      </c>
      <c r="B81" s="30" t="s">
        <v>146</v>
      </c>
      <c r="D81" s="63">
        <f t="shared" si="3"/>
        <v>10746030.725830838</v>
      </c>
      <c r="E81" s="63">
        <f t="shared" si="17"/>
        <v>10746030.725830838</v>
      </c>
      <c r="F81" s="122">
        <f t="shared" si="18"/>
        <v>223875.64012147579</v>
      </c>
      <c r="G81" s="63">
        <f t="shared" si="13"/>
        <v>-7611771.764130177</v>
      </c>
      <c r="H81" s="63">
        <f t="shared" si="14"/>
        <v>-6268517.9234013231</v>
      </c>
      <c r="I81" s="63">
        <f t="shared" si="15"/>
        <v>4477512.8024295149</v>
      </c>
      <c r="J81" s="63">
        <f t="shared" si="1"/>
        <v>47013.884425509917</v>
      </c>
      <c r="K81" s="68">
        <f t="shared" si="2"/>
        <v>-658194.38195713819</v>
      </c>
      <c r="L81" s="63">
        <f t="shared" si="16"/>
        <v>-940277.6885101978</v>
      </c>
      <c r="M81" s="63">
        <f t="shared" si="11"/>
        <v>3537235.1139193173</v>
      </c>
      <c r="N81" s="64">
        <f t="shared" si="12"/>
        <v>2476064.5797435232</v>
      </c>
    </row>
    <row r="82" spans="1:14" x14ac:dyDescent="0.2">
      <c r="A82" s="61">
        <v>46295</v>
      </c>
      <c r="B82" s="30" t="s">
        <v>146</v>
      </c>
      <c r="D82" s="63">
        <f t="shared" si="3"/>
        <v>10746030.725830838</v>
      </c>
      <c r="E82" s="63">
        <f t="shared" si="17"/>
        <v>10746030.725830838</v>
      </c>
      <c r="F82" s="122">
        <f t="shared" si="18"/>
        <v>223875.64012147579</v>
      </c>
      <c r="G82" s="63">
        <f t="shared" si="13"/>
        <v>-7835647.4042516528</v>
      </c>
      <c r="H82" s="63">
        <f t="shared" si="14"/>
        <v>-6492393.563522798</v>
      </c>
      <c r="I82" s="63">
        <f t="shared" si="15"/>
        <v>4253637.1623080401</v>
      </c>
      <c r="J82" s="63">
        <f t="shared" si="1"/>
        <v>47013.884425509917</v>
      </c>
      <c r="K82" s="68">
        <f t="shared" si="2"/>
        <v>-611180.49753162824</v>
      </c>
      <c r="L82" s="63">
        <f t="shared" si="16"/>
        <v>-893263.80408468784</v>
      </c>
      <c r="M82" s="63">
        <f t="shared" si="11"/>
        <v>3360373.3582233521</v>
      </c>
      <c r="N82" s="64">
        <f t="shared" si="12"/>
        <v>2299202.8240475571</v>
      </c>
    </row>
    <row r="83" spans="1:14" ht="13.5" thickBot="1" x14ac:dyDescent="0.25">
      <c r="A83" s="61">
        <v>46326</v>
      </c>
      <c r="B83" s="30" t="s">
        <v>146</v>
      </c>
      <c r="D83" s="63">
        <f t="shared" si="3"/>
        <v>10746030.725830838</v>
      </c>
      <c r="E83" s="63">
        <f t="shared" si="17"/>
        <v>10746030.725830838</v>
      </c>
      <c r="F83" s="122">
        <f t="shared" si="18"/>
        <v>223875.64012147579</v>
      </c>
      <c r="G83" s="63">
        <f t="shared" si="13"/>
        <v>-8059523.0443731286</v>
      </c>
      <c r="H83" s="63">
        <f t="shared" si="14"/>
        <v>-6716269.2036442747</v>
      </c>
      <c r="I83" s="63">
        <f t="shared" si="15"/>
        <v>4029761.5221865634</v>
      </c>
      <c r="J83" s="63">
        <f t="shared" si="1"/>
        <v>47013.884425509917</v>
      </c>
      <c r="K83" s="68">
        <f t="shared" si="2"/>
        <v>-564166.61310611828</v>
      </c>
      <c r="L83" s="63">
        <f t="shared" si="16"/>
        <v>-846249.91965917812</v>
      </c>
      <c r="M83" s="63">
        <f t="shared" si="11"/>
        <v>3183511.6025273851</v>
      </c>
      <c r="N83" s="64">
        <f t="shared" si="12"/>
        <v>2122341.068351591</v>
      </c>
    </row>
    <row r="84" spans="1:14" x14ac:dyDescent="0.2">
      <c r="A84" s="134">
        <v>46356</v>
      </c>
      <c r="B84" s="141" t="s">
        <v>147</v>
      </c>
      <c r="C84" s="141"/>
      <c r="D84" s="136">
        <f t="shared" si="3"/>
        <v>10746030.725830838</v>
      </c>
      <c r="E84" s="136">
        <f t="shared" si="17"/>
        <v>10746030.725830838</v>
      </c>
      <c r="F84" s="148">
        <f t="shared" si="18"/>
        <v>223875.64012147579</v>
      </c>
      <c r="G84" s="136">
        <f t="shared" si="13"/>
        <v>-8283398.6844946044</v>
      </c>
      <c r="H84" s="136">
        <f t="shared" si="14"/>
        <v>-6940144.8437657496</v>
      </c>
      <c r="I84" s="136">
        <f t="shared" si="15"/>
        <v>3805885.8820650885</v>
      </c>
      <c r="J84" s="136">
        <f t="shared" si="1"/>
        <v>47013.884425509917</v>
      </c>
      <c r="K84" s="138">
        <f t="shared" si="2"/>
        <v>-517152.72868060839</v>
      </c>
      <c r="L84" s="136">
        <f t="shared" si="16"/>
        <v>-799236.03523366805</v>
      </c>
      <c r="M84" s="136">
        <f t="shared" si="11"/>
        <v>3006649.8468314204</v>
      </c>
      <c r="N84" s="140">
        <f t="shared" si="12"/>
        <v>1945479.3126556254</v>
      </c>
    </row>
    <row r="85" spans="1:14" x14ac:dyDescent="0.2">
      <c r="A85" s="61">
        <v>46387</v>
      </c>
      <c r="B85" s="66" t="s">
        <v>147</v>
      </c>
      <c r="D85" s="63">
        <f t="shared" si="3"/>
        <v>10746030.725830838</v>
      </c>
      <c r="E85" s="63">
        <f t="shared" si="17"/>
        <v>10746030.725830838</v>
      </c>
      <c r="F85" s="122">
        <f t="shared" si="18"/>
        <v>223875.64012147579</v>
      </c>
      <c r="G85" s="63">
        <f t="shared" si="13"/>
        <v>-8507274.3246160802</v>
      </c>
      <c r="H85" s="63">
        <f t="shared" si="14"/>
        <v>-7164020.4838872245</v>
      </c>
      <c r="I85" s="63">
        <f t="shared" si="15"/>
        <v>3582010.2419436136</v>
      </c>
      <c r="J85" s="63">
        <f t="shared" si="1"/>
        <v>47013.884425509917</v>
      </c>
      <c r="K85" s="68">
        <f t="shared" si="2"/>
        <v>-470138.84425509849</v>
      </c>
      <c r="L85" s="63">
        <f t="shared" si="16"/>
        <v>-752222.15080815798</v>
      </c>
      <c r="M85" s="63">
        <f t="shared" si="11"/>
        <v>2829788.0911354558</v>
      </c>
      <c r="N85" s="64">
        <f t="shared" si="12"/>
        <v>1768617.5569596593</v>
      </c>
    </row>
    <row r="86" spans="1:14" x14ac:dyDescent="0.2">
      <c r="A86" s="61">
        <v>46418</v>
      </c>
      <c r="B86" s="66" t="s">
        <v>147</v>
      </c>
      <c r="D86" s="63">
        <f t="shared" si="3"/>
        <v>10746030.725830838</v>
      </c>
      <c r="E86" s="63">
        <f t="shared" si="17"/>
        <v>10746030.725830838</v>
      </c>
      <c r="F86" s="122">
        <f t="shared" si="18"/>
        <v>223875.64012147579</v>
      </c>
      <c r="G86" s="63">
        <f t="shared" si="13"/>
        <v>-8731149.9647375569</v>
      </c>
      <c r="H86" s="63">
        <f t="shared" si="14"/>
        <v>-7387896.1240087003</v>
      </c>
      <c r="I86" s="63">
        <f t="shared" si="15"/>
        <v>3358134.6018221378</v>
      </c>
      <c r="J86" s="63">
        <f t="shared" si="1"/>
        <v>47013.884425509917</v>
      </c>
      <c r="K86" s="68">
        <f t="shared" si="2"/>
        <v>-423124.9598295886</v>
      </c>
      <c r="L86" s="63">
        <f t="shared" si="16"/>
        <v>-705208.26638264814</v>
      </c>
      <c r="M86" s="63">
        <f t="shared" si="11"/>
        <v>2652926.3354394897</v>
      </c>
      <c r="N86" s="64">
        <f t="shared" si="12"/>
        <v>1591755.8012636926</v>
      </c>
    </row>
    <row r="87" spans="1:14" x14ac:dyDescent="0.2">
      <c r="A87" s="61">
        <v>46446</v>
      </c>
      <c r="B87" s="66" t="s">
        <v>147</v>
      </c>
      <c r="D87" s="63">
        <f t="shared" si="3"/>
        <v>10746030.725830838</v>
      </c>
      <c r="E87" s="63">
        <f t="shared" si="17"/>
        <v>10746030.725830838</v>
      </c>
      <c r="F87" s="122">
        <f t="shared" si="18"/>
        <v>223875.64012147579</v>
      </c>
      <c r="G87" s="63">
        <f t="shared" si="13"/>
        <v>-8955025.6048590317</v>
      </c>
      <c r="H87" s="63">
        <f t="shared" si="14"/>
        <v>-7611771.7641301779</v>
      </c>
      <c r="I87" s="63">
        <f t="shared" si="15"/>
        <v>3134258.9617006602</v>
      </c>
      <c r="J87" s="63">
        <f t="shared" si="1"/>
        <v>47013.884425509917</v>
      </c>
      <c r="K87" s="68">
        <f t="shared" si="2"/>
        <v>-376111.0754040787</v>
      </c>
      <c r="L87" s="63">
        <f t="shared" si="16"/>
        <v>-658194.38195713831</v>
      </c>
      <c r="M87" s="63">
        <f t="shared" si="11"/>
        <v>2476064.5797435218</v>
      </c>
      <c r="N87" s="64">
        <f t="shared" si="12"/>
        <v>1414894.0455677276</v>
      </c>
    </row>
    <row r="88" spans="1:14" x14ac:dyDescent="0.2">
      <c r="A88" s="61">
        <v>46477</v>
      </c>
      <c r="B88" s="66" t="s">
        <v>147</v>
      </c>
      <c r="D88" s="63">
        <f t="shared" si="3"/>
        <v>10746030.725830838</v>
      </c>
      <c r="E88" s="63">
        <f t="shared" si="17"/>
        <v>10746030.725830838</v>
      </c>
      <c r="F88" s="122">
        <f t="shared" si="18"/>
        <v>223875.64012147579</v>
      </c>
      <c r="G88" s="63">
        <f t="shared" si="13"/>
        <v>-9178901.2449805066</v>
      </c>
      <c r="H88" s="63">
        <f t="shared" si="14"/>
        <v>-7835647.4042516509</v>
      </c>
      <c r="I88" s="63">
        <f t="shared" si="15"/>
        <v>2910383.3215791872</v>
      </c>
      <c r="J88" s="63">
        <f t="shared" ref="J88:J97" si="19">(-C88*0.21)+(F88*0.21)</f>
        <v>47013.884425509917</v>
      </c>
      <c r="K88" s="68">
        <f t="shared" ref="K88:K97" si="20">K87+J88</f>
        <v>-329097.1909785688</v>
      </c>
      <c r="L88" s="63">
        <f t="shared" si="16"/>
        <v>-611180.49753162835</v>
      </c>
      <c r="M88" s="63">
        <f t="shared" si="11"/>
        <v>2299202.8240475589</v>
      </c>
      <c r="N88" s="64">
        <f t="shared" si="12"/>
        <v>1238032.2898717627</v>
      </c>
    </row>
    <row r="89" spans="1:14" x14ac:dyDescent="0.2">
      <c r="A89" s="61">
        <v>46507</v>
      </c>
      <c r="B89" s="66" t="s">
        <v>147</v>
      </c>
      <c r="D89" s="63">
        <f t="shared" ref="D89:D97" si="21">D88+C89</f>
        <v>10746030.725830838</v>
      </c>
      <c r="E89" s="63">
        <f t="shared" si="17"/>
        <v>10746030.725830838</v>
      </c>
      <c r="F89" s="122">
        <f t="shared" si="18"/>
        <v>223875.64012147579</v>
      </c>
      <c r="G89" s="63">
        <f t="shared" si="13"/>
        <v>-9402776.8851019815</v>
      </c>
      <c r="H89" s="63">
        <f t="shared" si="14"/>
        <v>-8059523.0443731276</v>
      </c>
      <c r="I89" s="63">
        <f t="shared" si="15"/>
        <v>2686507.6814577105</v>
      </c>
      <c r="J89" s="63">
        <f t="shared" si="19"/>
        <v>47013.884425509917</v>
      </c>
      <c r="K89" s="68">
        <f t="shared" si="20"/>
        <v>-282083.30655305891</v>
      </c>
      <c r="L89" s="63">
        <f t="shared" si="16"/>
        <v>-564166.6131061184</v>
      </c>
      <c r="M89" s="63">
        <f t="shared" si="11"/>
        <v>2122341.0683515919</v>
      </c>
      <c r="N89" s="64">
        <f t="shared" si="12"/>
        <v>1061170.5341757978</v>
      </c>
    </row>
    <row r="90" spans="1:14" x14ac:dyDescent="0.2">
      <c r="A90" s="61">
        <v>46538</v>
      </c>
      <c r="B90" s="66" t="s">
        <v>147</v>
      </c>
      <c r="D90" s="63">
        <f t="shared" si="21"/>
        <v>10746030.725830838</v>
      </c>
      <c r="E90" s="63">
        <f t="shared" si="17"/>
        <v>10746030.725830838</v>
      </c>
      <c r="F90" s="122">
        <f t="shared" si="18"/>
        <v>223875.64012147579</v>
      </c>
      <c r="G90" s="63">
        <f t="shared" si="13"/>
        <v>-9626652.5252234563</v>
      </c>
      <c r="H90" s="63">
        <f t="shared" si="14"/>
        <v>-8283398.6844946034</v>
      </c>
      <c r="I90" s="63">
        <f t="shared" si="15"/>
        <v>2462632.0413362347</v>
      </c>
      <c r="J90" s="63">
        <f t="shared" si="19"/>
        <v>47013.884425509917</v>
      </c>
      <c r="K90" s="68">
        <f t="shared" si="20"/>
        <v>-235069.42212754898</v>
      </c>
      <c r="L90" s="63">
        <f t="shared" si="16"/>
        <v>-517152.7286806085</v>
      </c>
      <c r="M90" s="63">
        <f t="shared" si="11"/>
        <v>1945479.3126556261</v>
      </c>
      <c r="N90" s="64">
        <f t="shared" si="12"/>
        <v>884308.77847983281</v>
      </c>
    </row>
    <row r="91" spans="1:14" x14ac:dyDescent="0.2">
      <c r="A91" s="61">
        <v>46568</v>
      </c>
      <c r="B91" s="66" t="s">
        <v>147</v>
      </c>
      <c r="D91" s="63">
        <f t="shared" si="21"/>
        <v>10746030.725830838</v>
      </c>
      <c r="E91" s="63">
        <f t="shared" si="17"/>
        <v>10746030.725830838</v>
      </c>
      <c r="F91" s="122">
        <f t="shared" si="18"/>
        <v>223875.64012147579</v>
      </c>
      <c r="G91" s="63">
        <f t="shared" si="13"/>
        <v>-9850528.1653449312</v>
      </c>
      <c r="H91" s="63">
        <f t="shared" si="14"/>
        <v>-8507274.3246160802</v>
      </c>
      <c r="I91" s="63">
        <f t="shared" si="15"/>
        <v>2238756.4012147579</v>
      </c>
      <c r="J91" s="63">
        <f t="shared" si="19"/>
        <v>47013.884425509917</v>
      </c>
      <c r="K91" s="68">
        <f t="shared" si="20"/>
        <v>-188055.53770203906</v>
      </c>
      <c r="L91" s="63">
        <f t="shared" si="16"/>
        <v>-470138.84425509861</v>
      </c>
      <c r="M91" s="63">
        <f t="shared" si="11"/>
        <v>1768617.5569596593</v>
      </c>
      <c r="N91" s="64">
        <f t="shared" si="12"/>
        <v>707447.02278386778</v>
      </c>
    </row>
    <row r="92" spans="1:14" x14ac:dyDescent="0.2">
      <c r="A92" s="61">
        <v>46599</v>
      </c>
      <c r="B92" s="66" t="s">
        <v>147</v>
      </c>
      <c r="D92" s="63">
        <f t="shared" si="21"/>
        <v>10746030.725830838</v>
      </c>
      <c r="E92" s="63">
        <f t="shared" si="17"/>
        <v>10746030.725830838</v>
      </c>
      <c r="F92" s="122">
        <f t="shared" si="18"/>
        <v>223875.64012147579</v>
      </c>
      <c r="G92" s="63">
        <f t="shared" si="13"/>
        <v>-10074403.805466406</v>
      </c>
      <c r="H92" s="63">
        <f t="shared" si="14"/>
        <v>-8731149.9647375531</v>
      </c>
      <c r="I92" s="63">
        <f t="shared" si="15"/>
        <v>2014880.7610932849</v>
      </c>
      <c r="J92" s="63">
        <f t="shared" si="19"/>
        <v>47013.884425509917</v>
      </c>
      <c r="K92" s="68">
        <f t="shared" si="20"/>
        <v>-141041.65327652913</v>
      </c>
      <c r="L92" s="63">
        <f t="shared" si="16"/>
        <v>-423124.9598295886</v>
      </c>
      <c r="M92" s="63">
        <f t="shared" si="11"/>
        <v>1591755.8012636963</v>
      </c>
      <c r="N92" s="64">
        <f t="shared" si="12"/>
        <v>530585.26708790287</v>
      </c>
    </row>
    <row r="93" spans="1:14" x14ac:dyDescent="0.2">
      <c r="A93" s="61">
        <v>46630</v>
      </c>
      <c r="B93" s="66" t="s">
        <v>147</v>
      </c>
      <c r="D93" s="63">
        <f t="shared" si="21"/>
        <v>10746030.725830838</v>
      </c>
      <c r="E93" s="63">
        <f t="shared" si="17"/>
        <v>10746030.725830838</v>
      </c>
      <c r="F93" s="122">
        <f t="shared" si="18"/>
        <v>223875.64012147579</v>
      </c>
      <c r="G93" s="63">
        <f t="shared" si="13"/>
        <v>-10298279.445587881</v>
      </c>
      <c r="H93" s="63">
        <f t="shared" si="14"/>
        <v>-8955025.6048590299</v>
      </c>
      <c r="I93" s="63">
        <f t="shared" si="15"/>
        <v>1791005.1209718082</v>
      </c>
      <c r="J93" s="63">
        <f t="shared" si="19"/>
        <v>47013.884425509917</v>
      </c>
      <c r="K93" s="68">
        <f t="shared" si="20"/>
        <v>-94027.768851019209</v>
      </c>
      <c r="L93" s="63">
        <f t="shared" si="16"/>
        <v>-376111.0754040787</v>
      </c>
      <c r="M93" s="63">
        <f t="shared" si="11"/>
        <v>1414894.0455677295</v>
      </c>
      <c r="N93" s="64">
        <f t="shared" si="12"/>
        <v>353723.51139193797</v>
      </c>
    </row>
    <row r="94" spans="1:14" x14ac:dyDescent="0.2">
      <c r="A94" s="61">
        <v>46660</v>
      </c>
      <c r="B94" s="66" t="s">
        <v>147</v>
      </c>
      <c r="D94" s="63">
        <f t="shared" si="21"/>
        <v>10746030.725830838</v>
      </c>
      <c r="E94" s="63">
        <f t="shared" si="17"/>
        <v>10746030.725830838</v>
      </c>
      <c r="F94" s="122">
        <f t="shared" si="18"/>
        <v>223875.64012147579</v>
      </c>
      <c r="G94" s="63">
        <f t="shared" si="13"/>
        <v>-10522155.085709356</v>
      </c>
      <c r="H94" s="63">
        <f t="shared" si="14"/>
        <v>-9178901.2449805047</v>
      </c>
      <c r="I94" s="63">
        <f t="shared" si="15"/>
        <v>1567129.4808503333</v>
      </c>
      <c r="J94" s="63">
        <f t="shared" si="19"/>
        <v>47013.884425509917</v>
      </c>
      <c r="K94" s="68">
        <f t="shared" si="20"/>
        <v>-47013.884425509292</v>
      </c>
      <c r="L94" s="63">
        <f t="shared" si="16"/>
        <v>-329097.1909785688</v>
      </c>
      <c r="M94" s="63">
        <f t="shared" si="11"/>
        <v>1238032.2898717646</v>
      </c>
      <c r="N94" s="64">
        <f t="shared" si="12"/>
        <v>176861.75569597303</v>
      </c>
    </row>
    <row r="95" spans="1:14" ht="13.5" thickBot="1" x14ac:dyDescent="0.25">
      <c r="A95" s="61">
        <v>46691</v>
      </c>
      <c r="B95" s="30" t="s">
        <v>147</v>
      </c>
      <c r="D95" s="63">
        <f t="shared" si="21"/>
        <v>10746030.725830838</v>
      </c>
      <c r="E95" s="63">
        <f t="shared" si="17"/>
        <v>10746030.725830838</v>
      </c>
      <c r="F95" s="122">
        <f t="shared" si="18"/>
        <v>223875.64012147579</v>
      </c>
      <c r="G95" s="63">
        <f t="shared" si="13"/>
        <v>-10746030.725830831</v>
      </c>
      <c r="H95" s="63">
        <f t="shared" si="14"/>
        <v>-9402776.8851019815</v>
      </c>
      <c r="I95" s="63">
        <f t="shared" si="15"/>
        <v>1343253.8407288566</v>
      </c>
      <c r="J95" s="63">
        <f t="shared" si="19"/>
        <v>47013.884425509917</v>
      </c>
      <c r="K95" s="68">
        <f t="shared" si="20"/>
        <v>6.2573235481977463E-10</v>
      </c>
      <c r="L95" s="63">
        <f t="shared" si="16"/>
        <v>-282083.30655305885</v>
      </c>
      <c r="M95" s="63">
        <f t="shared" si="11"/>
        <v>1061170.5341757978</v>
      </c>
      <c r="N95" s="64">
        <f t="shared" si="12"/>
        <v>8.0763129517436028E-9</v>
      </c>
    </row>
    <row r="96" spans="1:14" x14ac:dyDescent="0.2">
      <c r="A96" s="134">
        <v>46721</v>
      </c>
      <c r="B96" s="141" t="s">
        <v>148</v>
      </c>
      <c r="C96" s="141"/>
      <c r="D96" s="136">
        <f t="shared" si="21"/>
        <v>10746030.725830838</v>
      </c>
      <c r="E96" s="136">
        <f t="shared" si="17"/>
        <v>10746030.725830838</v>
      </c>
      <c r="F96" s="148"/>
      <c r="G96" s="136">
        <f t="shared" si="13"/>
        <v>-10746030.725830831</v>
      </c>
      <c r="H96" s="136">
        <f t="shared" si="14"/>
        <v>-9617324.3735517282</v>
      </c>
      <c r="I96" s="136">
        <f t="shared" si="15"/>
        <v>1128706.3522791099</v>
      </c>
      <c r="J96" s="136">
        <f t="shared" si="19"/>
        <v>0</v>
      </c>
      <c r="K96" s="138">
        <f t="shared" si="20"/>
        <v>6.2573235481977463E-10</v>
      </c>
      <c r="L96" s="136">
        <f t="shared" si="16"/>
        <v>-237028.33397861186</v>
      </c>
      <c r="M96" s="136">
        <f t="shared" si="11"/>
        <v>891678.01830049802</v>
      </c>
      <c r="N96" s="140">
        <f t="shared" si="12"/>
        <v>8.0763129517436028E-9</v>
      </c>
    </row>
    <row r="97" spans="1:14" x14ac:dyDescent="0.2">
      <c r="A97" s="61">
        <v>46752</v>
      </c>
      <c r="B97" s="66" t="s">
        <v>148</v>
      </c>
      <c r="D97" s="63">
        <f t="shared" si="21"/>
        <v>10746030.725830838</v>
      </c>
      <c r="E97" s="63">
        <f t="shared" si="17"/>
        <v>10746030.725830838</v>
      </c>
      <c r="F97" s="122"/>
      <c r="G97" s="63">
        <f t="shared" si="13"/>
        <v>-10746030.725830831</v>
      </c>
      <c r="H97" s="63">
        <f t="shared" si="14"/>
        <v>-9813215.5586580187</v>
      </c>
      <c r="I97" s="63">
        <f t="shared" si="15"/>
        <v>932815.16717281938</v>
      </c>
      <c r="J97" s="63">
        <f t="shared" si="19"/>
        <v>0</v>
      </c>
      <c r="K97" s="68">
        <f t="shared" si="20"/>
        <v>6.2573235481977463E-10</v>
      </c>
      <c r="L97" s="63">
        <f t="shared" si="16"/>
        <v>-195891.18510629074</v>
      </c>
      <c r="M97" s="63">
        <f t="shared" si="11"/>
        <v>736923.98206652864</v>
      </c>
      <c r="N97" s="64">
        <f t="shared" si="12"/>
        <v>8.0763129517436028E-9</v>
      </c>
    </row>
    <row r="98" spans="1:14" x14ac:dyDescent="0.2">
      <c r="A98" s="61">
        <v>46783</v>
      </c>
      <c r="B98" s="66" t="s">
        <v>148</v>
      </c>
      <c r="D98" s="63">
        <f t="shared" ref="D98:D102" si="22">D97+C98</f>
        <v>10746030.725830838</v>
      </c>
      <c r="E98" s="63">
        <f t="shared" ref="E98:E102" si="23">(D86+D98+SUM(D87:D97)*2)/24</f>
        <v>10746030.725830838</v>
      </c>
      <c r="F98" s="122"/>
      <c r="G98" s="63">
        <f t="shared" ref="G98:G102" si="24">G97-F98</f>
        <v>-10746030.725830831</v>
      </c>
      <c r="H98" s="63">
        <f t="shared" ref="H98:H102" si="25">(G86+G98+SUM(G87:G97)*2)/24</f>
        <v>-9990450.4404208511</v>
      </c>
      <c r="I98" s="63">
        <f t="shared" ref="I98:I102" si="26">E98+H98</f>
        <v>755580.28540998697</v>
      </c>
      <c r="J98" s="63">
        <f t="shared" ref="J98:J102" si="27">(-C98*0.21)+(F98*0.21)</f>
        <v>0</v>
      </c>
      <c r="K98" s="68">
        <f t="shared" ref="K98:K102" si="28">K97+J98</f>
        <v>6.2573235481977463E-10</v>
      </c>
      <c r="L98" s="63">
        <f t="shared" ref="L98:L102" si="29">(K86+K98+SUM(K87:K97)*2)/24</f>
        <v>-158671.85993609534</v>
      </c>
      <c r="M98" s="63">
        <f t="shared" ref="M98:M102" si="30">L98+I98</f>
        <v>596908.42547389166</v>
      </c>
      <c r="N98" s="64">
        <f t="shared" ref="N98:N102" si="31">+D98+G98+K98</f>
        <v>8.0763129517436028E-9</v>
      </c>
    </row>
    <row r="99" spans="1:14" x14ac:dyDescent="0.2">
      <c r="A99" s="61">
        <v>46812</v>
      </c>
      <c r="B99" s="66" t="s">
        <v>148</v>
      </c>
      <c r="D99" s="63">
        <f t="shared" si="22"/>
        <v>10746030.725830838</v>
      </c>
      <c r="E99" s="63">
        <f t="shared" si="23"/>
        <v>10746030.725830838</v>
      </c>
      <c r="F99" s="122"/>
      <c r="G99" s="63">
        <f t="shared" si="24"/>
        <v>-10746030.725830831</v>
      </c>
      <c r="H99" s="63">
        <f t="shared" si="25"/>
        <v>-10149029.018840229</v>
      </c>
      <c r="I99" s="63">
        <f t="shared" si="26"/>
        <v>597001.70699060895</v>
      </c>
      <c r="J99" s="63">
        <f t="shared" si="27"/>
        <v>0</v>
      </c>
      <c r="K99" s="68">
        <f t="shared" si="28"/>
        <v>6.2573235481977463E-10</v>
      </c>
      <c r="L99" s="63">
        <f t="shared" si="29"/>
        <v>-125370.35846802581</v>
      </c>
      <c r="M99" s="63">
        <f t="shared" si="30"/>
        <v>471631.34852258314</v>
      </c>
      <c r="N99" s="64">
        <f t="shared" si="31"/>
        <v>8.0763129517436028E-9</v>
      </c>
    </row>
    <row r="100" spans="1:14" x14ac:dyDescent="0.2">
      <c r="A100" s="61">
        <v>46843</v>
      </c>
      <c r="B100" s="66" t="s">
        <v>148</v>
      </c>
      <c r="D100" s="63">
        <f t="shared" si="22"/>
        <v>10746030.725830838</v>
      </c>
      <c r="E100" s="63">
        <f t="shared" si="23"/>
        <v>10746030.725830838</v>
      </c>
      <c r="F100" s="122"/>
      <c r="G100" s="63">
        <f t="shared" si="24"/>
        <v>-10746030.725830831</v>
      </c>
      <c r="H100" s="63">
        <f t="shared" si="25"/>
        <v>-10288951.293916149</v>
      </c>
      <c r="I100" s="63">
        <f t="shared" si="26"/>
        <v>457079.43191468902</v>
      </c>
      <c r="J100" s="63">
        <f t="shared" si="27"/>
        <v>0</v>
      </c>
      <c r="K100" s="68">
        <f t="shared" si="28"/>
        <v>6.2573235481977463E-10</v>
      </c>
      <c r="L100" s="63">
        <f t="shared" si="29"/>
        <v>-95986.680702082158</v>
      </c>
      <c r="M100" s="63">
        <f t="shared" si="30"/>
        <v>361092.75121260685</v>
      </c>
      <c r="N100" s="64">
        <f t="shared" si="31"/>
        <v>8.0763129517436028E-9</v>
      </c>
    </row>
    <row r="101" spans="1:14" x14ac:dyDescent="0.2">
      <c r="A101" s="61">
        <v>46873</v>
      </c>
      <c r="B101" s="66" t="s">
        <v>148</v>
      </c>
      <c r="D101" s="63">
        <f t="shared" si="22"/>
        <v>10746030.725830838</v>
      </c>
      <c r="E101" s="63">
        <f t="shared" si="23"/>
        <v>10746030.725830838</v>
      </c>
      <c r="F101" s="122"/>
      <c r="G101" s="63">
        <f t="shared" si="24"/>
        <v>-10746030.725830831</v>
      </c>
      <c r="H101" s="63">
        <f t="shared" si="25"/>
        <v>-10410217.265648616</v>
      </c>
      <c r="I101" s="63">
        <f t="shared" si="26"/>
        <v>335813.46018222161</v>
      </c>
      <c r="J101" s="63">
        <f t="shared" si="27"/>
        <v>0</v>
      </c>
      <c r="K101" s="68">
        <f t="shared" si="28"/>
        <v>6.2573235481977463E-10</v>
      </c>
      <c r="L101" s="63">
        <f t="shared" si="29"/>
        <v>-70520.826638264276</v>
      </c>
      <c r="M101" s="63">
        <f t="shared" si="30"/>
        <v>265292.63354395732</v>
      </c>
      <c r="N101" s="64">
        <f t="shared" si="31"/>
        <v>8.0763129517436028E-9</v>
      </c>
    </row>
    <row r="102" spans="1:14" x14ac:dyDescent="0.2">
      <c r="A102" s="61">
        <v>46904</v>
      </c>
      <c r="B102" s="66" t="s">
        <v>148</v>
      </c>
      <c r="D102" s="63">
        <f t="shared" si="22"/>
        <v>10746030.725830838</v>
      </c>
      <c r="E102" s="63">
        <f t="shared" si="23"/>
        <v>10746030.725830838</v>
      </c>
      <c r="F102" s="122"/>
      <c r="G102" s="63">
        <f t="shared" si="24"/>
        <v>-10746030.725830831</v>
      </c>
      <c r="H102" s="63">
        <f t="shared" si="25"/>
        <v>-10512826.934037626</v>
      </c>
      <c r="I102" s="63">
        <f t="shared" si="26"/>
        <v>233203.79179321229</v>
      </c>
      <c r="J102" s="63">
        <f t="shared" si="27"/>
        <v>0</v>
      </c>
      <c r="K102" s="68">
        <f t="shared" si="28"/>
        <v>6.2573235481977463E-10</v>
      </c>
      <c r="L102" s="63">
        <f t="shared" si="29"/>
        <v>-48972.796276572197</v>
      </c>
      <c r="M102" s="63">
        <f t="shared" si="30"/>
        <v>184230.99551664011</v>
      </c>
      <c r="N102" s="64">
        <f t="shared" si="31"/>
        <v>8.0763129517436028E-9</v>
      </c>
    </row>
    <row r="103" spans="1:14" x14ac:dyDescent="0.2">
      <c r="A103" s="61">
        <v>46934</v>
      </c>
      <c r="B103" s="66" t="s">
        <v>148</v>
      </c>
      <c r="D103" s="63">
        <f t="shared" ref="D103:D105" si="32">D102+C103</f>
        <v>10746030.725830838</v>
      </c>
      <c r="E103" s="63">
        <f t="shared" ref="E103:E105" si="33">(D91+D103+SUM(D92:D102)*2)/24</f>
        <v>10746030.725830838</v>
      </c>
      <c r="F103" s="122"/>
      <c r="G103" s="63">
        <f t="shared" ref="G103:G105" si="34">G102-F103</f>
        <v>-10746030.725830831</v>
      </c>
      <c r="H103" s="63">
        <f t="shared" ref="H103:H105" si="35">(G91+G103+SUM(G92:G102)*2)/24</f>
        <v>-10596780.299083179</v>
      </c>
      <c r="I103" s="63">
        <f t="shared" ref="I103:I105" si="36">E103+H103</f>
        <v>149250.42674765922</v>
      </c>
      <c r="J103" s="63">
        <f t="shared" ref="J103:J105" si="37">(-C103*0.21)+(F103*0.21)</f>
        <v>0</v>
      </c>
      <c r="K103" s="68">
        <f t="shared" ref="K103:K105" si="38">K102+J103</f>
        <v>6.2573235481977463E-10</v>
      </c>
      <c r="L103" s="63">
        <f t="shared" ref="L103:L105" si="39">(K91+K103+SUM(K92:K102)*2)/24</f>
        <v>-31342.589617005975</v>
      </c>
      <c r="M103" s="63">
        <f t="shared" ref="M103:M105" si="40">L103+I103</f>
        <v>117907.83713065325</v>
      </c>
      <c r="N103" s="64">
        <f t="shared" ref="N103:N105" si="41">+D103+G103+K103</f>
        <v>8.0763129517436028E-9</v>
      </c>
    </row>
    <row r="104" spans="1:14" x14ac:dyDescent="0.2">
      <c r="A104" s="61">
        <v>46965</v>
      </c>
      <c r="B104" s="66" t="s">
        <v>148</v>
      </c>
      <c r="D104" s="63">
        <f t="shared" si="32"/>
        <v>10746030.725830838</v>
      </c>
      <c r="E104" s="63">
        <f t="shared" si="33"/>
        <v>10746030.725830838</v>
      </c>
      <c r="F104" s="122"/>
      <c r="G104" s="63">
        <f t="shared" si="34"/>
        <v>-10746030.725830831</v>
      </c>
      <c r="H104" s="63">
        <f t="shared" si="35"/>
        <v>-10662077.360785274</v>
      </c>
      <c r="I104" s="63">
        <f t="shared" si="36"/>
        <v>83953.365045564249</v>
      </c>
      <c r="J104" s="63">
        <f t="shared" si="37"/>
        <v>0</v>
      </c>
      <c r="K104" s="68">
        <f t="shared" si="38"/>
        <v>6.2573235481977463E-10</v>
      </c>
      <c r="L104" s="63">
        <f t="shared" si="39"/>
        <v>-17630.206659565585</v>
      </c>
      <c r="M104" s="63">
        <f t="shared" si="40"/>
        <v>66323.158385998657</v>
      </c>
      <c r="N104" s="64">
        <f t="shared" si="41"/>
        <v>8.0763129517436028E-9</v>
      </c>
    </row>
    <row r="105" spans="1:14" x14ac:dyDescent="0.2">
      <c r="A105" s="61">
        <v>46996</v>
      </c>
      <c r="B105" s="66" t="s">
        <v>148</v>
      </c>
      <c r="D105" s="63">
        <f t="shared" si="32"/>
        <v>10746030.725830838</v>
      </c>
      <c r="E105" s="63">
        <f t="shared" si="33"/>
        <v>10746030.725830838</v>
      </c>
      <c r="F105" s="122"/>
      <c r="G105" s="63">
        <f t="shared" si="34"/>
        <v>-10746030.725830831</v>
      </c>
      <c r="H105" s="63">
        <f t="shared" si="35"/>
        <v>-10708718.119143916</v>
      </c>
      <c r="I105" s="63">
        <f t="shared" si="36"/>
        <v>37312.60668692179</v>
      </c>
      <c r="J105" s="63">
        <f t="shared" si="37"/>
        <v>0</v>
      </c>
      <c r="K105" s="68">
        <f t="shared" si="38"/>
        <v>6.2573235481977463E-10</v>
      </c>
      <c r="L105" s="63">
        <f t="shared" si="39"/>
        <v>-7835.6474042510272</v>
      </c>
      <c r="M105" s="63">
        <f t="shared" si="40"/>
        <v>29476.959282670763</v>
      </c>
      <c r="N105" s="64">
        <f t="shared" si="41"/>
        <v>8.0763129517436028E-9</v>
      </c>
    </row>
    <row r="106" spans="1:14" x14ac:dyDescent="0.2">
      <c r="A106" s="61">
        <v>47026</v>
      </c>
      <c r="B106" s="66" t="s">
        <v>148</v>
      </c>
      <c r="D106" s="63">
        <f t="shared" ref="D106:D107" si="42">D105+C106</f>
        <v>10746030.725830838</v>
      </c>
      <c r="E106" s="63">
        <f t="shared" ref="E106:E107" si="43">(D94+D106+SUM(D95:D105)*2)/24</f>
        <v>10746030.725830838</v>
      </c>
      <c r="F106" s="122"/>
      <c r="G106" s="63">
        <f t="shared" ref="G106:G107" si="44">G105-F106</f>
        <v>-10746030.725830831</v>
      </c>
      <c r="H106" s="63">
        <f t="shared" ref="H106:H107" si="45">(G94+G106+SUM(G95:G105)*2)/24</f>
        <v>-10736702.574159101</v>
      </c>
      <c r="I106" s="63">
        <f t="shared" ref="I106:I107" si="46">E106+H106</f>
        <v>9328.1516717374325</v>
      </c>
      <c r="J106" s="63">
        <f t="shared" ref="J106:J107" si="47">(-C106*0.21)+(F106*0.21)</f>
        <v>0</v>
      </c>
      <c r="K106" s="68">
        <f t="shared" ref="K106:K107" si="48">K105+J106</f>
        <v>6.2573235481977463E-10</v>
      </c>
      <c r="L106" s="63">
        <f t="shared" ref="L106:L107" si="49">(K94+K106+SUM(K95:K105)*2)/24</f>
        <v>-1958.9118510622875</v>
      </c>
      <c r="M106" s="63">
        <f t="shared" ref="M106:M107" si="50">L106+I106</f>
        <v>7369.239820675145</v>
      </c>
      <c r="N106" s="64">
        <f t="shared" ref="N106:N107" si="51">+D106+G106+K106</f>
        <v>8.0763129517436028E-9</v>
      </c>
    </row>
    <row r="107" spans="1:14" x14ac:dyDescent="0.2">
      <c r="A107" s="70">
        <v>47057</v>
      </c>
      <c r="B107" s="71" t="s">
        <v>148</v>
      </c>
      <c r="C107" s="71"/>
      <c r="D107" s="72">
        <f t="shared" si="42"/>
        <v>10746030.725830838</v>
      </c>
      <c r="E107" s="72">
        <f t="shared" si="43"/>
        <v>10746030.725830838</v>
      </c>
      <c r="F107" s="123"/>
      <c r="G107" s="72">
        <f t="shared" si="44"/>
        <v>-10746030.725830831</v>
      </c>
      <c r="H107" s="72">
        <f t="shared" si="45"/>
        <v>-10746030.725830829</v>
      </c>
      <c r="I107" s="72">
        <f t="shared" si="46"/>
        <v>0</v>
      </c>
      <c r="J107" s="72">
        <f t="shared" si="47"/>
        <v>0</v>
      </c>
      <c r="K107" s="73">
        <f t="shared" si="48"/>
        <v>6.2573235481977463E-10</v>
      </c>
      <c r="L107" s="72">
        <f t="shared" si="49"/>
        <v>6.2573235481977463E-10</v>
      </c>
      <c r="M107" s="72">
        <f t="shared" si="50"/>
        <v>6.2573235481977463E-10</v>
      </c>
      <c r="N107" s="74">
        <f t="shared" si="51"/>
        <v>8.0763129517436028E-9</v>
      </c>
    </row>
    <row r="108" spans="1:14" x14ac:dyDescent="0.2">
      <c r="A108" s="150"/>
      <c r="B108" s="151"/>
      <c r="C108" s="151"/>
      <c r="D108" s="152"/>
      <c r="E108" s="152"/>
      <c r="F108" s="153"/>
      <c r="G108" s="152"/>
      <c r="H108" s="152"/>
      <c r="I108" s="152"/>
      <c r="J108" s="152"/>
      <c r="K108" s="154"/>
      <c r="L108" s="152"/>
      <c r="M108" s="152"/>
      <c r="N108" s="155"/>
    </row>
    <row r="109" spans="1:14" x14ac:dyDescent="0.2">
      <c r="A109" s="30" t="s">
        <v>186</v>
      </c>
      <c r="F109" s="130">
        <f>SUM(F48:F59)</f>
        <v>2686507.6814577095</v>
      </c>
    </row>
    <row r="120" spans="8:8" x14ac:dyDescent="0.2">
      <c r="H120" s="66" t="s">
        <v>190</v>
      </c>
    </row>
  </sheetData>
  <printOptions horizontalCentered="1"/>
  <pageMargins left="0.2" right="0.2" top="0.25" bottom="0.5" header="0.3" footer="0.3"/>
  <pageSetup scale="76" firstPageNumber="6" fitToHeight="0" orientation="landscape" useFirstPageNumber="1" r:id="rId1"/>
  <headerFooter>
    <oddFooter>&amp;R&amp;"Times New Roman,Regular"Exh. SEF-3 page &amp;P of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1"/>
  <sheetViews>
    <sheetView zoomScale="95" zoomScaleNormal="95" workbookViewId="0">
      <pane xSplit="1" ySplit="9" topLeftCell="B42" activePane="bottomRight" state="frozen"/>
      <selection activeCell="C35" sqref="C35"/>
      <selection pane="topRight" activeCell="C35" sqref="C35"/>
      <selection pane="bottomLeft" activeCell="C35" sqref="C35"/>
      <selection pane="bottomRight" activeCell="B10" sqref="B10"/>
    </sheetView>
  </sheetViews>
  <sheetFormatPr defaultColWidth="9.140625" defaultRowHeight="12.75" outlineLevelRow="1" x14ac:dyDescent="0.2"/>
  <cols>
    <col min="1" max="1" width="17.28515625" style="30" customWidth="1"/>
    <col min="2" max="2" width="8.85546875" style="66" bestFit="1" customWidth="1"/>
    <col min="3" max="3" width="14.7109375" style="66" bestFit="1" customWidth="1"/>
    <col min="4" max="5" width="16.140625" style="66" bestFit="1" customWidth="1"/>
    <col min="6" max="6" width="13.28515625" style="66" bestFit="1" customWidth="1"/>
    <col min="7" max="7" width="17" style="66" bestFit="1" customWidth="1"/>
    <col min="8" max="8" width="12.7109375" style="66" bestFit="1" customWidth="1"/>
    <col min="9" max="9" width="12" style="66" bestFit="1" customWidth="1"/>
    <col min="10" max="10" width="15.7109375" style="66" bestFit="1" customWidth="1"/>
    <col min="11" max="11" width="17.5703125" style="66" bestFit="1" customWidth="1"/>
    <col min="12" max="12" width="11.85546875" style="66" bestFit="1" customWidth="1"/>
    <col min="13" max="13" width="12" style="66" bestFit="1" customWidth="1"/>
    <col min="14" max="14" width="11.85546875" style="66" bestFit="1" customWidth="1"/>
    <col min="15" max="15" width="10.85546875" style="30" bestFit="1" customWidth="1"/>
    <col min="16" max="16" width="9.7109375" style="30" bestFit="1" customWidth="1"/>
    <col min="17" max="16384" width="9.140625" style="30"/>
  </cols>
  <sheetData>
    <row r="1" spans="1:14" x14ac:dyDescent="0.2">
      <c r="A1" s="27" t="s">
        <v>43</v>
      </c>
      <c r="B1" s="28"/>
      <c r="C1" s="28"/>
      <c r="D1" s="28"/>
      <c r="E1" s="28"/>
      <c r="F1" s="28"/>
      <c r="G1" s="28"/>
      <c r="H1" s="28"/>
      <c r="I1" s="28"/>
      <c r="J1" s="29"/>
      <c r="K1" s="29"/>
      <c r="L1" s="29"/>
      <c r="M1" s="29"/>
      <c r="N1" s="30"/>
    </row>
    <row r="2" spans="1:14" x14ac:dyDescent="0.2">
      <c r="A2" s="27" t="s">
        <v>78</v>
      </c>
      <c r="B2" s="28"/>
      <c r="C2" s="28"/>
      <c r="D2" s="28"/>
      <c r="E2" s="28"/>
      <c r="F2" s="28"/>
      <c r="G2" s="28"/>
      <c r="H2" s="28"/>
      <c r="I2" s="28"/>
      <c r="J2" s="29"/>
      <c r="K2" s="29"/>
      <c r="L2" s="29"/>
      <c r="M2" s="29"/>
      <c r="N2" s="30"/>
    </row>
    <row r="3" spans="1:14" x14ac:dyDescent="0.2">
      <c r="A3" s="27" t="s">
        <v>45</v>
      </c>
      <c r="B3" s="28"/>
      <c r="C3" s="28"/>
      <c r="D3" s="28"/>
      <c r="E3" s="28"/>
      <c r="F3" s="28"/>
      <c r="G3" s="28"/>
      <c r="H3" s="28"/>
      <c r="I3" s="28"/>
      <c r="J3" s="29"/>
      <c r="K3" s="29"/>
      <c r="L3" s="29"/>
      <c r="M3" s="29"/>
      <c r="N3" s="30"/>
    </row>
    <row r="4" spans="1:14" x14ac:dyDescent="0.2">
      <c r="A4" s="28"/>
      <c r="B4" s="28"/>
      <c r="C4" s="31"/>
      <c r="D4" s="32"/>
      <c r="E4" s="33"/>
      <c r="F4" s="34"/>
      <c r="G4" s="34"/>
      <c r="H4" s="34"/>
      <c r="I4" s="34"/>
      <c r="J4" s="35"/>
      <c r="K4" s="36"/>
      <c r="L4" s="35"/>
      <c r="M4" s="35"/>
      <c r="N4" s="30"/>
    </row>
    <row r="5" spans="1:14" x14ac:dyDescent="0.2">
      <c r="A5" s="29"/>
      <c r="B5" s="29"/>
      <c r="C5" s="37" t="s">
        <v>46</v>
      </c>
      <c r="D5" s="38"/>
      <c r="E5" s="35"/>
      <c r="F5" s="39"/>
      <c r="G5" s="39"/>
      <c r="H5" s="39"/>
      <c r="I5" s="39"/>
      <c r="J5" s="40"/>
      <c r="K5" s="39"/>
      <c r="L5" s="39"/>
      <c r="M5" s="39"/>
      <c r="N5" s="30"/>
    </row>
    <row r="6" spans="1:14" x14ac:dyDescent="0.2">
      <c r="A6" s="41"/>
      <c r="B6" s="41"/>
      <c r="C6" s="42" t="s">
        <v>47</v>
      </c>
      <c r="D6" s="42" t="s">
        <v>48</v>
      </c>
      <c r="E6" s="42" t="s">
        <v>49</v>
      </c>
      <c r="F6" s="42" t="s">
        <v>50</v>
      </c>
      <c r="G6" s="42" t="s">
        <v>51</v>
      </c>
      <c r="H6" s="42" t="s">
        <v>52</v>
      </c>
      <c r="I6" s="42" t="s">
        <v>41</v>
      </c>
      <c r="J6" s="42" t="s">
        <v>50</v>
      </c>
      <c r="K6" s="42" t="s">
        <v>51</v>
      </c>
      <c r="L6" s="42" t="s">
        <v>53</v>
      </c>
      <c r="M6" s="43" t="s">
        <v>54</v>
      </c>
      <c r="N6" s="44" t="s">
        <v>48</v>
      </c>
    </row>
    <row r="7" spans="1:14" x14ac:dyDescent="0.2">
      <c r="A7" s="39" t="s">
        <v>55</v>
      </c>
      <c r="B7" s="45"/>
      <c r="C7" s="39" t="s">
        <v>56</v>
      </c>
      <c r="D7" s="39"/>
      <c r="E7" s="39" t="s">
        <v>48</v>
      </c>
      <c r="F7" s="39" t="s">
        <v>57</v>
      </c>
      <c r="G7" s="39" t="s">
        <v>57</v>
      </c>
      <c r="H7" s="39" t="s">
        <v>57</v>
      </c>
      <c r="I7" s="39" t="s">
        <v>58</v>
      </c>
      <c r="J7" s="39" t="s">
        <v>59</v>
      </c>
      <c r="K7" s="39" t="s">
        <v>59</v>
      </c>
      <c r="L7" s="39" t="s">
        <v>41</v>
      </c>
      <c r="M7" s="46" t="s">
        <v>53</v>
      </c>
      <c r="N7" s="47" t="s">
        <v>60</v>
      </c>
    </row>
    <row r="8" spans="1:14" x14ac:dyDescent="0.2">
      <c r="A8" s="39" t="s">
        <v>61</v>
      </c>
      <c r="B8" s="45"/>
      <c r="C8" s="39" t="s">
        <v>62</v>
      </c>
      <c r="D8" s="39" t="s">
        <v>63</v>
      </c>
      <c r="E8" s="39" t="s">
        <v>64</v>
      </c>
      <c r="F8" s="39" t="s">
        <v>65</v>
      </c>
      <c r="G8" s="48" t="s">
        <v>66</v>
      </c>
      <c r="H8" s="39" t="s">
        <v>67</v>
      </c>
      <c r="I8" s="39" t="s">
        <v>68</v>
      </c>
      <c r="J8" s="39" t="s">
        <v>69</v>
      </c>
      <c r="K8" s="39" t="s">
        <v>70</v>
      </c>
      <c r="L8" s="39" t="s">
        <v>71</v>
      </c>
      <c r="M8" s="46" t="s">
        <v>72</v>
      </c>
      <c r="N8" s="47" t="s">
        <v>73</v>
      </c>
    </row>
    <row r="9" spans="1:14" x14ac:dyDescent="0.2">
      <c r="A9" s="49"/>
      <c r="B9" s="49"/>
      <c r="C9" s="50"/>
      <c r="D9" s="50"/>
      <c r="E9" s="50"/>
      <c r="F9" s="51" t="s">
        <v>74</v>
      </c>
      <c r="G9" s="50"/>
      <c r="H9" s="50"/>
      <c r="I9" s="50"/>
      <c r="J9" s="50" t="s">
        <v>75</v>
      </c>
      <c r="K9" s="52"/>
      <c r="L9" s="50"/>
      <c r="M9" s="53"/>
      <c r="N9" s="54"/>
    </row>
    <row r="10" spans="1:14" x14ac:dyDescent="0.2">
      <c r="A10" s="55"/>
      <c r="B10" s="29"/>
      <c r="C10" s="39"/>
      <c r="D10" s="56"/>
      <c r="E10" s="57"/>
      <c r="F10" s="39"/>
      <c r="G10" s="39"/>
      <c r="H10" s="56"/>
      <c r="I10" s="56"/>
      <c r="J10" s="58"/>
      <c r="K10" s="58"/>
      <c r="L10" s="58"/>
      <c r="M10" s="59"/>
      <c r="N10" s="60"/>
    </row>
    <row r="11" spans="1:14" x14ac:dyDescent="0.2">
      <c r="A11" s="61" t="s">
        <v>76</v>
      </c>
      <c r="B11" s="61"/>
      <c r="C11" s="62"/>
      <c r="D11" s="56"/>
      <c r="E11" s="63"/>
      <c r="F11" s="56"/>
      <c r="G11" s="56"/>
      <c r="H11" s="56"/>
      <c r="I11" s="56"/>
      <c r="J11" s="63"/>
      <c r="K11" s="63"/>
      <c r="L11" s="63"/>
      <c r="M11" s="59"/>
      <c r="N11" s="64"/>
    </row>
    <row r="12" spans="1:14" hidden="1" outlineLevel="1" x14ac:dyDescent="0.2">
      <c r="A12" s="61">
        <v>44165</v>
      </c>
      <c r="B12" s="61"/>
      <c r="C12" s="62"/>
      <c r="D12" s="56"/>
      <c r="E12" s="63"/>
      <c r="F12" s="56"/>
      <c r="G12" s="56"/>
      <c r="H12" s="56"/>
      <c r="I12" s="56"/>
      <c r="J12" s="63"/>
      <c r="K12" s="63"/>
      <c r="L12" s="63"/>
      <c r="M12" s="58"/>
      <c r="N12" s="64"/>
    </row>
    <row r="13" spans="1:14" hidden="1" outlineLevel="1" x14ac:dyDescent="0.2">
      <c r="A13" s="61">
        <v>44196</v>
      </c>
      <c r="B13" s="61"/>
      <c r="C13" s="62"/>
      <c r="D13" s="56"/>
      <c r="E13" s="63"/>
      <c r="F13" s="56"/>
      <c r="G13" s="56"/>
      <c r="H13" s="56"/>
      <c r="I13" s="56"/>
      <c r="J13" s="63"/>
      <c r="K13" s="63"/>
      <c r="L13" s="63"/>
      <c r="M13" s="58"/>
      <c r="N13" s="64"/>
    </row>
    <row r="14" spans="1:14" hidden="1" outlineLevel="1" x14ac:dyDescent="0.2">
      <c r="A14" s="61">
        <v>44227</v>
      </c>
      <c r="B14" s="61"/>
      <c r="C14" s="62"/>
      <c r="D14" s="56"/>
      <c r="E14" s="63"/>
      <c r="F14" s="56"/>
      <c r="G14" s="56"/>
      <c r="H14" s="56"/>
      <c r="I14" s="56"/>
      <c r="J14" s="63"/>
      <c r="K14" s="63"/>
      <c r="L14" s="63"/>
      <c r="M14" s="58"/>
      <c r="N14" s="64"/>
    </row>
    <row r="15" spans="1:14" hidden="1" outlineLevel="1" x14ac:dyDescent="0.2">
      <c r="A15" s="61">
        <v>44255</v>
      </c>
      <c r="B15" s="61"/>
      <c r="C15" s="62"/>
      <c r="D15" s="56"/>
      <c r="E15" s="63"/>
      <c r="F15" s="56"/>
      <c r="G15" s="56"/>
      <c r="H15" s="56"/>
      <c r="I15" s="56"/>
      <c r="J15" s="63"/>
      <c r="K15" s="63"/>
      <c r="L15" s="63"/>
      <c r="M15" s="58"/>
      <c r="N15" s="64"/>
    </row>
    <row r="16" spans="1:14" hidden="1" outlineLevel="1" x14ac:dyDescent="0.2">
      <c r="A16" s="61">
        <v>44286</v>
      </c>
      <c r="B16" s="61"/>
      <c r="C16" s="62"/>
      <c r="D16" s="56"/>
      <c r="E16" s="63"/>
      <c r="F16" s="56"/>
      <c r="G16" s="56"/>
      <c r="H16" s="56"/>
      <c r="I16" s="56"/>
      <c r="J16" s="63"/>
      <c r="K16" s="63"/>
      <c r="L16" s="63"/>
      <c r="M16" s="58"/>
      <c r="N16" s="64"/>
    </row>
    <row r="17" spans="1:14" hidden="1" outlineLevel="1" x14ac:dyDescent="0.2">
      <c r="A17" s="61">
        <v>44316</v>
      </c>
      <c r="B17" s="61"/>
      <c r="C17" s="62"/>
      <c r="D17" s="56"/>
      <c r="E17" s="63"/>
      <c r="F17" s="56"/>
      <c r="G17" s="56"/>
      <c r="H17" s="56"/>
      <c r="I17" s="56"/>
      <c r="J17" s="63"/>
      <c r="K17" s="63"/>
      <c r="L17" s="63"/>
      <c r="M17" s="58"/>
      <c r="N17" s="64"/>
    </row>
    <row r="18" spans="1:14" hidden="1" outlineLevel="1" x14ac:dyDescent="0.2">
      <c r="A18" s="61">
        <v>44347</v>
      </c>
      <c r="B18" s="61"/>
      <c r="C18" s="62"/>
      <c r="D18" s="56"/>
      <c r="E18" s="63"/>
      <c r="F18" s="56"/>
      <c r="G18" s="56"/>
      <c r="H18" s="56"/>
      <c r="I18" s="56"/>
      <c r="J18" s="63"/>
      <c r="K18" s="63"/>
      <c r="L18" s="63"/>
      <c r="M18" s="58"/>
      <c r="N18" s="64"/>
    </row>
    <row r="19" spans="1:14" hidden="1" outlineLevel="1" x14ac:dyDescent="0.2">
      <c r="A19" s="61">
        <v>44377</v>
      </c>
      <c r="B19" s="61"/>
      <c r="C19" s="62"/>
      <c r="D19" s="56"/>
      <c r="E19" s="63"/>
      <c r="F19" s="56"/>
      <c r="G19" s="56"/>
      <c r="H19" s="56"/>
      <c r="I19" s="56"/>
      <c r="J19" s="63"/>
      <c r="K19" s="63"/>
      <c r="L19" s="63"/>
      <c r="M19" s="58"/>
      <c r="N19" s="64"/>
    </row>
    <row r="20" spans="1:14" hidden="1" outlineLevel="1" x14ac:dyDescent="0.2">
      <c r="A20" s="61">
        <v>44408</v>
      </c>
      <c r="B20" s="61"/>
      <c r="C20" s="62"/>
      <c r="D20" s="56"/>
      <c r="E20" s="63"/>
      <c r="F20" s="56"/>
      <c r="G20" s="56"/>
      <c r="H20" s="56"/>
      <c r="I20" s="56"/>
      <c r="J20" s="63"/>
      <c r="K20" s="63"/>
      <c r="L20" s="63"/>
      <c r="M20" s="58"/>
      <c r="N20" s="64"/>
    </row>
    <row r="21" spans="1:14" hidden="1" outlineLevel="1" x14ac:dyDescent="0.2">
      <c r="A21" s="61">
        <v>44439</v>
      </c>
      <c r="B21" s="61"/>
      <c r="C21" s="62"/>
      <c r="D21" s="56"/>
      <c r="E21" s="63"/>
      <c r="F21" s="56"/>
      <c r="G21" s="56"/>
      <c r="H21" s="56"/>
      <c r="I21" s="56"/>
      <c r="J21" s="63"/>
      <c r="K21" s="63"/>
      <c r="L21" s="63"/>
      <c r="M21" s="58"/>
      <c r="N21" s="64"/>
    </row>
    <row r="22" spans="1:14" hidden="1" outlineLevel="1" x14ac:dyDescent="0.2">
      <c r="A22" s="61">
        <v>44469</v>
      </c>
      <c r="B22" s="61"/>
      <c r="C22" s="62"/>
      <c r="D22" s="56"/>
      <c r="E22" s="63"/>
      <c r="F22" s="56"/>
      <c r="G22" s="56"/>
      <c r="H22" s="56"/>
      <c r="I22" s="56"/>
      <c r="J22" s="63"/>
      <c r="K22" s="63"/>
      <c r="L22" s="63"/>
      <c r="M22" s="58"/>
      <c r="N22" s="64"/>
    </row>
    <row r="23" spans="1:14" hidden="1" outlineLevel="1" x14ac:dyDescent="0.2">
      <c r="A23" s="61">
        <v>44500</v>
      </c>
      <c r="B23" s="61"/>
      <c r="C23" s="62"/>
      <c r="D23" s="56"/>
      <c r="E23" s="63"/>
      <c r="F23" s="56"/>
      <c r="G23" s="56"/>
      <c r="H23" s="56"/>
      <c r="I23" s="56"/>
      <c r="J23" s="63"/>
      <c r="K23" s="63"/>
      <c r="L23" s="63"/>
      <c r="M23" s="58"/>
      <c r="N23" s="64"/>
    </row>
    <row r="24" spans="1:14" collapsed="1" x14ac:dyDescent="0.2">
      <c r="A24" s="61">
        <v>44530</v>
      </c>
      <c r="B24" s="61"/>
      <c r="C24" s="62"/>
      <c r="D24" s="63">
        <f>D11+C24</f>
        <v>0</v>
      </c>
      <c r="E24" s="63">
        <f t="shared" ref="E24:E37" si="0">(D12+D24+SUM(D13:D23)*2)/24</f>
        <v>0</v>
      </c>
      <c r="F24" s="63">
        <v>0</v>
      </c>
      <c r="G24" s="63">
        <v>0</v>
      </c>
      <c r="H24" s="63">
        <v>0</v>
      </c>
      <c r="I24" s="63">
        <v>0</v>
      </c>
      <c r="J24" s="63">
        <f t="shared" ref="J24:J87" si="1">(-C24*0.21)+(F24*0.21)</f>
        <v>0</v>
      </c>
      <c r="K24" s="63">
        <f t="shared" ref="K24:K87" si="2">K23+J24</f>
        <v>0</v>
      </c>
      <c r="L24" s="63">
        <v>0</v>
      </c>
      <c r="M24" s="63">
        <v>0</v>
      </c>
      <c r="N24" s="65">
        <v>0</v>
      </c>
    </row>
    <row r="25" spans="1:14" x14ac:dyDescent="0.2">
      <c r="A25" s="61">
        <v>44561</v>
      </c>
      <c r="B25" s="61"/>
      <c r="C25" s="62"/>
      <c r="D25" s="63">
        <f t="shared" ref="D25:D88" si="3">D24+C25</f>
        <v>0</v>
      </c>
      <c r="E25" s="63">
        <f t="shared" si="0"/>
        <v>0</v>
      </c>
      <c r="F25" s="63">
        <v>0</v>
      </c>
      <c r="G25" s="63">
        <v>0</v>
      </c>
      <c r="H25" s="63">
        <v>0</v>
      </c>
      <c r="I25" s="63">
        <v>0</v>
      </c>
      <c r="J25" s="63">
        <f t="shared" si="1"/>
        <v>0</v>
      </c>
      <c r="K25" s="63">
        <f t="shared" si="2"/>
        <v>0</v>
      </c>
      <c r="L25" s="63">
        <v>0</v>
      </c>
      <c r="M25" s="63">
        <v>0</v>
      </c>
      <c r="N25" s="65">
        <v>0</v>
      </c>
    </row>
    <row r="26" spans="1:14" x14ac:dyDescent="0.2">
      <c r="A26" s="61">
        <v>44592</v>
      </c>
      <c r="B26" s="61"/>
      <c r="C26" s="62"/>
      <c r="D26" s="63">
        <f t="shared" si="3"/>
        <v>0</v>
      </c>
      <c r="E26" s="63">
        <f t="shared" si="0"/>
        <v>0</v>
      </c>
      <c r="F26" s="122"/>
      <c r="G26" s="63">
        <f t="shared" ref="G26:G37" si="4">G25-F26</f>
        <v>0</v>
      </c>
      <c r="H26" s="63">
        <f t="shared" ref="H26:H37" si="5">(G14+G26+SUM(G15:G25)*2)/24</f>
        <v>0</v>
      </c>
      <c r="I26" s="63">
        <f>E26+H26</f>
        <v>0</v>
      </c>
      <c r="J26" s="63">
        <f t="shared" si="1"/>
        <v>0</v>
      </c>
      <c r="K26" s="63">
        <f t="shared" si="2"/>
        <v>0</v>
      </c>
      <c r="L26" s="63">
        <f t="shared" ref="L26:L36" si="6">(K14+K26+SUM(K15:K25)*2)/24</f>
        <v>0</v>
      </c>
      <c r="M26" s="63">
        <f>I26+L26</f>
        <v>0</v>
      </c>
      <c r="N26" s="65">
        <f t="shared" ref="N26:N35" si="7">+D26+G26+K26</f>
        <v>0</v>
      </c>
    </row>
    <row r="27" spans="1:14" x14ac:dyDescent="0.2">
      <c r="A27" s="61">
        <v>44620</v>
      </c>
      <c r="B27" s="61"/>
      <c r="C27" s="62"/>
      <c r="D27" s="63">
        <f t="shared" si="3"/>
        <v>0</v>
      </c>
      <c r="E27" s="63">
        <f t="shared" si="0"/>
        <v>0</v>
      </c>
      <c r="F27" s="122"/>
      <c r="G27" s="63">
        <f t="shared" si="4"/>
        <v>0</v>
      </c>
      <c r="H27" s="63">
        <f t="shared" si="5"/>
        <v>0</v>
      </c>
      <c r="I27" s="63">
        <f t="shared" ref="I27:I37" si="8">E27+H27</f>
        <v>0</v>
      </c>
      <c r="J27" s="63">
        <f t="shared" si="1"/>
        <v>0</v>
      </c>
      <c r="K27" s="63">
        <f t="shared" si="2"/>
        <v>0</v>
      </c>
      <c r="L27" s="63">
        <f t="shared" si="6"/>
        <v>0</v>
      </c>
      <c r="M27" s="63">
        <f t="shared" ref="M27:M36" si="9">I27+L27</f>
        <v>0</v>
      </c>
      <c r="N27" s="65">
        <f t="shared" si="7"/>
        <v>0</v>
      </c>
    </row>
    <row r="28" spans="1:14" x14ac:dyDescent="0.2">
      <c r="A28" s="61">
        <v>44651</v>
      </c>
      <c r="B28" s="61"/>
      <c r="C28" s="62"/>
      <c r="D28" s="63">
        <f t="shared" si="3"/>
        <v>0</v>
      </c>
      <c r="E28" s="63">
        <f t="shared" si="0"/>
        <v>0</v>
      </c>
      <c r="F28" s="122"/>
      <c r="G28" s="63">
        <f t="shared" si="4"/>
        <v>0</v>
      </c>
      <c r="H28" s="63">
        <f t="shared" si="5"/>
        <v>0</v>
      </c>
      <c r="I28" s="63">
        <f t="shared" si="8"/>
        <v>0</v>
      </c>
      <c r="J28" s="63">
        <f t="shared" si="1"/>
        <v>0</v>
      </c>
      <c r="K28" s="63">
        <f t="shared" si="2"/>
        <v>0</v>
      </c>
      <c r="L28" s="63">
        <f t="shared" si="6"/>
        <v>0</v>
      </c>
      <c r="M28" s="63">
        <f t="shared" si="9"/>
        <v>0</v>
      </c>
      <c r="N28" s="65">
        <f t="shared" si="7"/>
        <v>0</v>
      </c>
    </row>
    <row r="29" spans="1:14" x14ac:dyDescent="0.2">
      <c r="A29" s="61">
        <v>44681</v>
      </c>
      <c r="B29" s="61"/>
      <c r="C29" s="62"/>
      <c r="D29" s="63">
        <f t="shared" si="3"/>
        <v>0</v>
      </c>
      <c r="E29" s="63">
        <f t="shared" si="0"/>
        <v>0</v>
      </c>
      <c r="F29" s="122"/>
      <c r="G29" s="63">
        <f t="shared" si="4"/>
        <v>0</v>
      </c>
      <c r="H29" s="63">
        <f t="shared" si="5"/>
        <v>0</v>
      </c>
      <c r="I29" s="63">
        <f t="shared" si="8"/>
        <v>0</v>
      </c>
      <c r="J29" s="63">
        <f t="shared" si="1"/>
        <v>0</v>
      </c>
      <c r="K29" s="63">
        <f t="shared" si="2"/>
        <v>0</v>
      </c>
      <c r="L29" s="63">
        <f t="shared" si="6"/>
        <v>0</v>
      </c>
      <c r="M29" s="63">
        <f t="shared" si="9"/>
        <v>0</v>
      </c>
      <c r="N29" s="65">
        <f t="shared" si="7"/>
        <v>0</v>
      </c>
    </row>
    <row r="30" spans="1:14" x14ac:dyDescent="0.2">
      <c r="A30" s="61">
        <v>44712</v>
      </c>
      <c r="B30" s="61"/>
      <c r="C30" s="62"/>
      <c r="D30" s="63">
        <f t="shared" si="3"/>
        <v>0</v>
      </c>
      <c r="E30" s="63">
        <f t="shared" si="0"/>
        <v>0</v>
      </c>
      <c r="F30" s="122"/>
      <c r="G30" s="63">
        <f t="shared" si="4"/>
        <v>0</v>
      </c>
      <c r="H30" s="63">
        <f t="shared" si="5"/>
        <v>0</v>
      </c>
      <c r="I30" s="63">
        <f t="shared" si="8"/>
        <v>0</v>
      </c>
      <c r="J30" s="63">
        <f t="shared" si="1"/>
        <v>0</v>
      </c>
      <c r="K30" s="63">
        <f t="shared" si="2"/>
        <v>0</v>
      </c>
      <c r="L30" s="63">
        <f t="shared" si="6"/>
        <v>0</v>
      </c>
      <c r="M30" s="63">
        <f t="shared" si="9"/>
        <v>0</v>
      </c>
      <c r="N30" s="65">
        <f t="shared" si="7"/>
        <v>0</v>
      </c>
    </row>
    <row r="31" spans="1:14" x14ac:dyDescent="0.2">
      <c r="A31" s="61">
        <v>44742</v>
      </c>
      <c r="B31" s="61"/>
      <c r="C31" s="62"/>
      <c r="D31" s="63">
        <f t="shared" si="3"/>
        <v>0</v>
      </c>
      <c r="E31" s="63">
        <f t="shared" si="0"/>
        <v>0</v>
      </c>
      <c r="F31" s="122"/>
      <c r="G31" s="63">
        <f t="shared" si="4"/>
        <v>0</v>
      </c>
      <c r="H31" s="63">
        <f t="shared" si="5"/>
        <v>0</v>
      </c>
      <c r="I31" s="63">
        <f t="shared" si="8"/>
        <v>0</v>
      </c>
      <c r="J31" s="63">
        <f t="shared" si="1"/>
        <v>0</v>
      </c>
      <c r="K31" s="63">
        <f t="shared" si="2"/>
        <v>0</v>
      </c>
      <c r="L31" s="63">
        <f t="shared" si="6"/>
        <v>0</v>
      </c>
      <c r="M31" s="63">
        <f t="shared" si="9"/>
        <v>0</v>
      </c>
      <c r="N31" s="65">
        <f t="shared" si="7"/>
        <v>0</v>
      </c>
    </row>
    <row r="32" spans="1:14" x14ac:dyDescent="0.2">
      <c r="A32" s="61">
        <v>44773</v>
      </c>
      <c r="C32" s="62"/>
      <c r="D32" s="63">
        <f t="shared" si="3"/>
        <v>0</v>
      </c>
      <c r="E32" s="63">
        <f t="shared" si="0"/>
        <v>0</v>
      </c>
      <c r="F32" s="122"/>
      <c r="G32" s="63">
        <f t="shared" si="4"/>
        <v>0</v>
      </c>
      <c r="H32" s="63">
        <f t="shared" si="5"/>
        <v>0</v>
      </c>
      <c r="I32" s="63">
        <f t="shared" si="8"/>
        <v>0</v>
      </c>
      <c r="J32" s="63">
        <f t="shared" si="1"/>
        <v>0</v>
      </c>
      <c r="K32" s="63">
        <f t="shared" si="2"/>
        <v>0</v>
      </c>
      <c r="L32" s="63">
        <f t="shared" si="6"/>
        <v>0</v>
      </c>
      <c r="M32" s="63">
        <f t="shared" si="9"/>
        <v>0</v>
      </c>
      <c r="N32" s="65">
        <f t="shared" si="7"/>
        <v>0</v>
      </c>
    </row>
    <row r="33" spans="1:15" x14ac:dyDescent="0.2">
      <c r="A33" s="61">
        <v>44804</v>
      </c>
      <c r="C33" s="62"/>
      <c r="D33" s="63">
        <f t="shared" si="3"/>
        <v>0</v>
      </c>
      <c r="E33" s="63">
        <f t="shared" si="0"/>
        <v>0</v>
      </c>
      <c r="F33" s="122"/>
      <c r="G33" s="63">
        <f t="shared" si="4"/>
        <v>0</v>
      </c>
      <c r="H33" s="63">
        <f t="shared" si="5"/>
        <v>0</v>
      </c>
      <c r="I33" s="63">
        <f t="shared" si="8"/>
        <v>0</v>
      </c>
      <c r="J33" s="63">
        <f t="shared" si="1"/>
        <v>0</v>
      </c>
      <c r="K33" s="63">
        <f t="shared" si="2"/>
        <v>0</v>
      </c>
      <c r="L33" s="63">
        <f t="shared" si="6"/>
        <v>0</v>
      </c>
      <c r="M33" s="63">
        <f t="shared" si="9"/>
        <v>0</v>
      </c>
      <c r="N33" s="65">
        <f t="shared" si="7"/>
        <v>0</v>
      </c>
    </row>
    <row r="34" spans="1:15" x14ac:dyDescent="0.2">
      <c r="A34" s="61">
        <v>44834</v>
      </c>
      <c r="C34" s="62"/>
      <c r="D34" s="63">
        <f t="shared" si="3"/>
        <v>0</v>
      </c>
      <c r="E34" s="63">
        <f t="shared" si="0"/>
        <v>0</v>
      </c>
      <c r="F34" s="122"/>
      <c r="G34" s="63">
        <f t="shared" si="4"/>
        <v>0</v>
      </c>
      <c r="H34" s="63">
        <f t="shared" si="5"/>
        <v>0</v>
      </c>
      <c r="I34" s="63">
        <f t="shared" si="8"/>
        <v>0</v>
      </c>
      <c r="J34" s="63">
        <f t="shared" si="1"/>
        <v>0</v>
      </c>
      <c r="K34" s="63">
        <f t="shared" si="2"/>
        <v>0</v>
      </c>
      <c r="L34" s="63">
        <f t="shared" si="6"/>
        <v>0</v>
      </c>
      <c r="M34" s="63">
        <f t="shared" si="9"/>
        <v>0</v>
      </c>
      <c r="N34" s="65">
        <f t="shared" si="7"/>
        <v>0</v>
      </c>
    </row>
    <row r="35" spans="1:15" x14ac:dyDescent="0.2">
      <c r="A35" s="61">
        <v>44865</v>
      </c>
      <c r="C35" s="62"/>
      <c r="D35" s="63">
        <f t="shared" si="3"/>
        <v>0</v>
      </c>
      <c r="E35" s="63">
        <f t="shared" si="0"/>
        <v>0</v>
      </c>
      <c r="F35" s="122"/>
      <c r="G35" s="63">
        <f t="shared" si="4"/>
        <v>0</v>
      </c>
      <c r="H35" s="63">
        <f t="shared" si="5"/>
        <v>0</v>
      </c>
      <c r="I35" s="63">
        <f t="shared" si="8"/>
        <v>0</v>
      </c>
      <c r="J35" s="63">
        <f t="shared" si="1"/>
        <v>0</v>
      </c>
      <c r="K35" s="63">
        <f t="shared" si="2"/>
        <v>0</v>
      </c>
      <c r="L35" s="63">
        <f t="shared" si="6"/>
        <v>0</v>
      </c>
      <c r="M35" s="63">
        <f t="shared" si="9"/>
        <v>0</v>
      </c>
      <c r="N35" s="65">
        <f t="shared" si="7"/>
        <v>0</v>
      </c>
    </row>
    <row r="36" spans="1:15" x14ac:dyDescent="0.2">
      <c r="A36" s="61">
        <v>44895</v>
      </c>
      <c r="C36" s="62"/>
      <c r="D36" s="63">
        <f t="shared" si="3"/>
        <v>0</v>
      </c>
      <c r="E36" s="63">
        <f t="shared" si="0"/>
        <v>0</v>
      </c>
      <c r="F36" s="122"/>
      <c r="G36" s="63">
        <f t="shared" si="4"/>
        <v>0</v>
      </c>
      <c r="H36" s="63">
        <f t="shared" si="5"/>
        <v>0</v>
      </c>
      <c r="I36" s="63">
        <f t="shared" si="8"/>
        <v>0</v>
      </c>
      <c r="J36" s="63">
        <f t="shared" si="1"/>
        <v>0</v>
      </c>
      <c r="K36" s="63">
        <f t="shared" si="2"/>
        <v>0</v>
      </c>
      <c r="L36" s="63">
        <f t="shared" si="6"/>
        <v>0</v>
      </c>
      <c r="M36" s="63">
        <f t="shared" si="9"/>
        <v>0</v>
      </c>
      <c r="N36" s="65">
        <f t="shared" ref="N36:N96" si="10">+D36+G36+K36</f>
        <v>0</v>
      </c>
    </row>
    <row r="37" spans="1:15" x14ac:dyDescent="0.2">
      <c r="A37" s="61">
        <v>44926</v>
      </c>
      <c r="C37" s="62"/>
      <c r="D37" s="218">
        <f t="shared" si="3"/>
        <v>0</v>
      </c>
      <c r="E37" s="63">
        <f t="shared" si="0"/>
        <v>0</v>
      </c>
      <c r="F37" s="122"/>
      <c r="G37" s="63">
        <f t="shared" si="4"/>
        <v>0</v>
      </c>
      <c r="H37" s="63">
        <f t="shared" si="5"/>
        <v>0</v>
      </c>
      <c r="I37" s="63">
        <f t="shared" si="8"/>
        <v>0</v>
      </c>
      <c r="J37" s="63">
        <f t="shared" si="1"/>
        <v>0</v>
      </c>
      <c r="K37" s="63">
        <f t="shared" si="2"/>
        <v>0</v>
      </c>
      <c r="L37" s="63">
        <f t="shared" ref="L37" si="11">(K25+K37+SUM(K26:K36)*2)/24</f>
        <v>0</v>
      </c>
      <c r="M37" s="63">
        <f t="shared" ref="M37:M96" si="12">L37+I37</f>
        <v>0</v>
      </c>
      <c r="N37" s="64">
        <f t="shared" si="10"/>
        <v>0</v>
      </c>
    </row>
    <row r="38" spans="1:15" x14ac:dyDescent="0.2">
      <c r="A38" s="61">
        <v>44957</v>
      </c>
      <c r="B38" s="61"/>
      <c r="C38" s="62">
        <v>1658331.0333887211</v>
      </c>
      <c r="D38" s="218">
        <f t="shared" si="3"/>
        <v>1658331.0333887211</v>
      </c>
      <c r="E38" s="63">
        <f>(D26+D38+SUM(D27:D37)*2)/24</f>
        <v>69097.126391196711</v>
      </c>
      <c r="F38" s="122"/>
      <c r="G38" s="63">
        <f t="shared" ref="G38:G96" si="13">G37-F38</f>
        <v>0</v>
      </c>
      <c r="H38" s="63">
        <f t="shared" ref="H38:H96" si="14">(G26+G38+SUM(G27:G37)*2)/24</f>
        <v>0</v>
      </c>
      <c r="I38" s="63">
        <f t="shared" ref="I38:I96" si="15">E38+H38</f>
        <v>69097.126391196711</v>
      </c>
      <c r="J38" s="63">
        <f t="shared" si="1"/>
        <v>-348249.5170116314</v>
      </c>
      <c r="K38" s="68">
        <f t="shared" si="2"/>
        <v>-348249.5170116314</v>
      </c>
      <c r="L38" s="63">
        <f t="shared" ref="L38:L96" si="16">(K26+K38+SUM(K27:K37)*2)/24</f>
        <v>-14510.396542151308</v>
      </c>
      <c r="M38" s="69">
        <f t="shared" si="12"/>
        <v>54586.729849045405</v>
      </c>
      <c r="N38" s="64">
        <f t="shared" si="10"/>
        <v>1310081.5163770895</v>
      </c>
    </row>
    <row r="39" spans="1:15" x14ac:dyDescent="0.2">
      <c r="A39" s="61">
        <v>44985</v>
      </c>
      <c r="B39" s="61"/>
      <c r="C39" s="62">
        <v>1645181.6462852815</v>
      </c>
      <c r="D39" s="63">
        <f t="shared" si="3"/>
        <v>3303512.6796740023</v>
      </c>
      <c r="E39" s="63">
        <f t="shared" ref="E39:E96" si="17">(D27+D39+SUM(D28:D38)*2)/24</f>
        <v>275840.61443547689</v>
      </c>
      <c r="F39" s="122"/>
      <c r="G39" s="63">
        <f t="shared" si="13"/>
        <v>0</v>
      </c>
      <c r="H39" s="63">
        <f t="shared" si="14"/>
        <v>0</v>
      </c>
      <c r="I39" s="63">
        <f t="shared" si="15"/>
        <v>275840.61443547689</v>
      </c>
      <c r="J39" s="63">
        <f t="shared" si="1"/>
        <v>-345488.14571990911</v>
      </c>
      <c r="K39" s="68">
        <f t="shared" si="2"/>
        <v>-693737.66273154051</v>
      </c>
      <c r="L39" s="63">
        <f t="shared" si="16"/>
        <v>-57926.52903145014</v>
      </c>
      <c r="M39" s="69">
        <f t="shared" si="12"/>
        <v>217914.08540402676</v>
      </c>
      <c r="N39" s="64">
        <f t="shared" si="10"/>
        <v>2609775.016942462</v>
      </c>
    </row>
    <row r="40" spans="1:15" x14ac:dyDescent="0.2">
      <c r="A40" s="61">
        <v>45016</v>
      </c>
      <c r="B40" s="61"/>
      <c r="C40" s="62">
        <v>1640175.3164569223</v>
      </c>
      <c r="D40" s="63">
        <f t="shared" si="3"/>
        <v>4943687.9961309247</v>
      </c>
      <c r="E40" s="63">
        <f t="shared" si="17"/>
        <v>619473.97592734883</v>
      </c>
      <c r="F40" s="122"/>
      <c r="G40" s="63">
        <f t="shared" si="13"/>
        <v>0</v>
      </c>
      <c r="H40" s="63">
        <f t="shared" si="14"/>
        <v>0</v>
      </c>
      <c r="I40" s="63">
        <f t="shared" si="15"/>
        <v>619473.97592734883</v>
      </c>
      <c r="J40" s="63">
        <f t="shared" si="1"/>
        <v>-344436.8164559537</v>
      </c>
      <c r="K40" s="68">
        <f t="shared" si="2"/>
        <v>-1038174.4791874941</v>
      </c>
      <c r="L40" s="63">
        <f t="shared" si="16"/>
        <v>-130089.53494474325</v>
      </c>
      <c r="M40" s="69">
        <f t="shared" si="12"/>
        <v>489384.44098260556</v>
      </c>
      <c r="N40" s="64">
        <f t="shared" si="10"/>
        <v>3905513.5169434305</v>
      </c>
    </row>
    <row r="41" spans="1:15" x14ac:dyDescent="0.2">
      <c r="A41" s="61">
        <v>45046</v>
      </c>
      <c r="B41" s="61"/>
      <c r="C41" s="62">
        <v>1635104.7957885899</v>
      </c>
      <c r="D41" s="63">
        <f t="shared" si="3"/>
        <v>6578792.7919195145</v>
      </c>
      <c r="E41" s="63">
        <f t="shared" si="17"/>
        <v>1099577.3420961171</v>
      </c>
      <c r="F41" s="122"/>
      <c r="G41" s="63">
        <f t="shared" si="13"/>
        <v>0</v>
      </c>
      <c r="H41" s="63">
        <f t="shared" si="14"/>
        <v>0</v>
      </c>
      <c r="I41" s="63">
        <f t="shared" si="15"/>
        <v>1099577.3420961171</v>
      </c>
      <c r="J41" s="63">
        <f t="shared" si="1"/>
        <v>-343372.00711560383</v>
      </c>
      <c r="K41" s="68">
        <f t="shared" si="2"/>
        <v>-1381546.486303098</v>
      </c>
      <c r="L41" s="63">
        <f t="shared" si="16"/>
        <v>-230911.24184018458</v>
      </c>
      <c r="M41" s="69">
        <f t="shared" si="12"/>
        <v>868666.10025593254</v>
      </c>
      <c r="N41" s="64">
        <f t="shared" si="10"/>
        <v>5197246.305616416</v>
      </c>
    </row>
    <row r="42" spans="1:15" x14ac:dyDescent="0.2">
      <c r="A42" s="61">
        <v>45077</v>
      </c>
      <c r="B42" s="61"/>
      <c r="C42" s="62">
        <v>1630034.2751202572</v>
      </c>
      <c r="D42" s="63">
        <f t="shared" si="3"/>
        <v>8208827.0670397719</v>
      </c>
      <c r="E42" s="63">
        <f t="shared" si="17"/>
        <v>1715728.1695527539</v>
      </c>
      <c r="F42" s="122"/>
      <c r="G42" s="63">
        <f t="shared" si="13"/>
        <v>0</v>
      </c>
      <c r="H42" s="63">
        <f t="shared" si="14"/>
        <v>0</v>
      </c>
      <c r="I42" s="63">
        <f t="shared" si="15"/>
        <v>1715728.1695527539</v>
      </c>
      <c r="J42" s="63">
        <f t="shared" si="1"/>
        <v>-342307.19777525397</v>
      </c>
      <c r="K42" s="68">
        <f t="shared" si="2"/>
        <v>-1723853.6840783521</v>
      </c>
      <c r="L42" s="63">
        <f t="shared" si="16"/>
        <v>-360302.9156060784</v>
      </c>
      <c r="M42" s="69">
        <f t="shared" si="12"/>
        <v>1355425.2539466755</v>
      </c>
      <c r="N42" s="64">
        <f t="shared" si="10"/>
        <v>6484973.3829614203</v>
      </c>
    </row>
    <row r="43" spans="1:15" x14ac:dyDescent="0.2">
      <c r="A43" s="61">
        <v>45107</v>
      </c>
      <c r="B43" s="61"/>
      <c r="C43" s="62">
        <v>1624963.754451924</v>
      </c>
      <c r="D43" s="63">
        <f t="shared" si="3"/>
        <v>9833790.8214916959</v>
      </c>
      <c r="E43" s="63">
        <f t="shared" si="17"/>
        <v>2467503.9149082317</v>
      </c>
      <c r="F43" s="122"/>
      <c r="G43" s="63">
        <f t="shared" si="13"/>
        <v>0</v>
      </c>
      <c r="H43" s="63">
        <f t="shared" si="14"/>
        <v>0</v>
      </c>
      <c r="I43" s="63">
        <f t="shared" si="15"/>
        <v>2467503.9149082317</v>
      </c>
      <c r="J43" s="63">
        <f t="shared" si="1"/>
        <v>-341242.38843490405</v>
      </c>
      <c r="K43" s="68">
        <f t="shared" si="2"/>
        <v>-2065096.0725132562</v>
      </c>
      <c r="L43" s="63">
        <f t="shared" si="16"/>
        <v>-518175.82213072869</v>
      </c>
      <c r="M43" s="69">
        <f t="shared" si="12"/>
        <v>1949328.092777503</v>
      </c>
      <c r="N43" s="64">
        <f t="shared" si="10"/>
        <v>7768694.7489784397</v>
      </c>
      <c r="O43" s="63"/>
    </row>
    <row r="44" spans="1:15" x14ac:dyDescent="0.2">
      <c r="A44" s="61">
        <v>45138</v>
      </c>
      <c r="B44" s="61"/>
      <c r="C44" s="62">
        <v>1619893.2337835913</v>
      </c>
      <c r="D44" s="63">
        <f t="shared" si="3"/>
        <v>11453684.055275287</v>
      </c>
      <c r="E44" s="63">
        <f t="shared" si="17"/>
        <v>3354482.034773523</v>
      </c>
      <c r="F44" s="122"/>
      <c r="G44" s="63">
        <f t="shared" si="13"/>
        <v>0</v>
      </c>
      <c r="H44" s="63">
        <f t="shared" si="14"/>
        <v>0</v>
      </c>
      <c r="I44" s="63">
        <f t="shared" si="15"/>
        <v>3354482.034773523</v>
      </c>
      <c r="J44" s="63">
        <f t="shared" si="1"/>
        <v>-340177.57909455418</v>
      </c>
      <c r="K44" s="68">
        <f t="shared" si="2"/>
        <v>-2405273.6516078105</v>
      </c>
      <c r="L44" s="63">
        <f t="shared" si="16"/>
        <v>-704441.22730243986</v>
      </c>
      <c r="M44" s="69">
        <f t="shared" si="12"/>
        <v>2650040.807471083</v>
      </c>
      <c r="N44" s="64">
        <f t="shared" si="10"/>
        <v>9048410.403667476</v>
      </c>
      <c r="O44" s="63"/>
    </row>
    <row r="45" spans="1:15" x14ac:dyDescent="0.2">
      <c r="A45" s="61">
        <v>45169</v>
      </c>
      <c r="B45" s="61"/>
      <c r="C45" s="62">
        <v>1614822.7131152584</v>
      </c>
      <c r="D45" s="63">
        <f t="shared" si="3"/>
        <v>13068506.768390546</v>
      </c>
      <c r="E45" s="63">
        <f t="shared" si="17"/>
        <v>4376239.9857595991</v>
      </c>
      <c r="F45" s="122"/>
      <c r="G45" s="63">
        <f t="shared" si="13"/>
        <v>0</v>
      </c>
      <c r="H45" s="63">
        <f t="shared" si="14"/>
        <v>0</v>
      </c>
      <c r="I45" s="63">
        <f t="shared" si="15"/>
        <v>4376239.9857595991</v>
      </c>
      <c r="J45" s="63">
        <f t="shared" si="1"/>
        <v>-339112.76975420426</v>
      </c>
      <c r="K45" s="68">
        <f t="shared" si="2"/>
        <v>-2744386.421362015</v>
      </c>
      <c r="L45" s="63">
        <f t="shared" si="16"/>
        <v>-919010.39700951602</v>
      </c>
      <c r="M45" s="69">
        <f t="shared" si="12"/>
        <v>3457229.588750083</v>
      </c>
      <c r="N45" s="64">
        <f t="shared" si="10"/>
        <v>10324120.347028531</v>
      </c>
      <c r="O45" s="63"/>
    </row>
    <row r="46" spans="1:15" x14ac:dyDescent="0.2">
      <c r="A46" s="61">
        <v>45199</v>
      </c>
      <c r="B46" s="61"/>
      <c r="C46" s="62">
        <v>1609752.1924469257</v>
      </c>
      <c r="D46" s="63">
        <f t="shared" si="3"/>
        <v>14678258.960837472</v>
      </c>
      <c r="E46" s="63">
        <f t="shared" si="17"/>
        <v>5532355.2244774327</v>
      </c>
      <c r="F46" s="122"/>
      <c r="G46" s="63">
        <f t="shared" si="13"/>
        <v>0</v>
      </c>
      <c r="H46" s="63">
        <f t="shared" si="14"/>
        <v>0</v>
      </c>
      <c r="I46" s="63">
        <f t="shared" si="15"/>
        <v>5532355.2244774327</v>
      </c>
      <c r="J46" s="63">
        <f t="shared" si="1"/>
        <v>-338047.96041385439</v>
      </c>
      <c r="K46" s="68">
        <f t="shared" si="2"/>
        <v>-3082434.3817758695</v>
      </c>
      <c r="L46" s="63">
        <f t="shared" si="16"/>
        <v>-1161794.5971402612</v>
      </c>
      <c r="M46" s="69">
        <f t="shared" si="12"/>
        <v>4370560.6273371717</v>
      </c>
      <c r="N46" s="64">
        <f t="shared" si="10"/>
        <v>11595824.579061603</v>
      </c>
      <c r="O46" s="63"/>
    </row>
    <row r="47" spans="1:15" ht="13.5" thickBot="1" x14ac:dyDescent="0.25">
      <c r="A47" s="61">
        <v>45230</v>
      </c>
      <c r="B47" s="61"/>
      <c r="C47" s="62">
        <v>1604681.671778593</v>
      </c>
      <c r="D47" s="63">
        <f t="shared" si="3"/>
        <v>16282940.632616065</v>
      </c>
      <c r="E47" s="63">
        <f t="shared" si="17"/>
        <v>6822405.2075379975</v>
      </c>
      <c r="F47" s="122"/>
      <c r="G47" s="63">
        <f t="shared" si="13"/>
        <v>0</v>
      </c>
      <c r="H47" s="63">
        <f t="shared" si="14"/>
        <v>0</v>
      </c>
      <c r="I47" s="63">
        <f t="shared" si="15"/>
        <v>6822405.2075379975</v>
      </c>
      <c r="J47" s="63">
        <f t="shared" si="1"/>
        <v>-336983.15107350453</v>
      </c>
      <c r="K47" s="68">
        <f t="shared" si="2"/>
        <v>-3419417.5328493742</v>
      </c>
      <c r="L47" s="63">
        <f t="shared" si="16"/>
        <v>-1432705.0935829794</v>
      </c>
      <c r="M47" s="69">
        <f t="shared" si="12"/>
        <v>5389700.1139550181</v>
      </c>
      <c r="N47" s="64">
        <f t="shared" si="10"/>
        <v>12863523.09976669</v>
      </c>
      <c r="O47" s="63"/>
    </row>
    <row r="48" spans="1:15" x14ac:dyDescent="0.2">
      <c r="A48" s="134">
        <v>45260</v>
      </c>
      <c r="B48" s="134" t="s">
        <v>144</v>
      </c>
      <c r="C48" s="135"/>
      <c r="D48" s="136">
        <f t="shared" si="3"/>
        <v>16282940.632616065</v>
      </c>
      <c r="E48" s="136">
        <f t="shared" si="17"/>
        <v>8179316.9269226706</v>
      </c>
      <c r="F48" s="148">
        <f t="shared" ref="F48:F95" si="18">D48/48</f>
        <v>339227.92984616803</v>
      </c>
      <c r="G48" s="136">
        <f t="shared" si="13"/>
        <v>-339227.92984616803</v>
      </c>
      <c r="H48" s="136">
        <f t="shared" si="14"/>
        <v>-14134.497076923668</v>
      </c>
      <c r="I48" s="136">
        <f t="shared" si="15"/>
        <v>8165182.4298457466</v>
      </c>
      <c r="J48" s="136">
        <f t="shared" si="1"/>
        <v>71237.865267695277</v>
      </c>
      <c r="K48" s="138">
        <f t="shared" si="2"/>
        <v>-3348179.6675816788</v>
      </c>
      <c r="L48" s="136">
        <f t="shared" si="16"/>
        <v>-1714688.3102676068</v>
      </c>
      <c r="M48" s="139">
        <f t="shared" si="12"/>
        <v>6450494.1195781399</v>
      </c>
      <c r="N48" s="140">
        <f t="shared" si="10"/>
        <v>12595533.035188219</v>
      </c>
      <c r="O48" s="63"/>
    </row>
    <row r="49" spans="1:15" x14ac:dyDescent="0.2">
      <c r="A49" s="61">
        <v>45291</v>
      </c>
      <c r="B49" s="61" t="s">
        <v>144</v>
      </c>
      <c r="C49" s="63"/>
      <c r="D49" s="63">
        <f t="shared" si="3"/>
        <v>16282940.632616065</v>
      </c>
      <c r="E49" s="63">
        <f t="shared" si="17"/>
        <v>9536228.6463073436</v>
      </c>
      <c r="F49" s="122">
        <f t="shared" si="18"/>
        <v>339227.92984616803</v>
      </c>
      <c r="G49" s="63">
        <f t="shared" si="13"/>
        <v>-678455.85969233606</v>
      </c>
      <c r="H49" s="63">
        <f t="shared" si="14"/>
        <v>-56537.988307694672</v>
      </c>
      <c r="I49" s="63">
        <f t="shared" si="15"/>
        <v>9479690.6579996496</v>
      </c>
      <c r="J49" s="63">
        <f t="shared" si="1"/>
        <v>71237.865267695277</v>
      </c>
      <c r="K49" s="68">
        <f t="shared" si="2"/>
        <v>-3276941.8023139834</v>
      </c>
      <c r="L49" s="63">
        <f t="shared" si="16"/>
        <v>-1990735.0381799259</v>
      </c>
      <c r="M49" s="69">
        <f t="shared" si="12"/>
        <v>7488955.619819724</v>
      </c>
      <c r="N49" s="64">
        <f t="shared" si="10"/>
        <v>12327542.970609747</v>
      </c>
      <c r="O49" s="63"/>
    </row>
    <row r="50" spans="1:15" x14ac:dyDescent="0.2">
      <c r="A50" s="61">
        <v>45322</v>
      </c>
      <c r="B50" s="61" t="s">
        <v>144</v>
      </c>
      <c r="C50" s="63"/>
      <c r="D50" s="63">
        <f t="shared" si="3"/>
        <v>16282940.632616065</v>
      </c>
      <c r="E50" s="63">
        <f t="shared" si="17"/>
        <v>10824043.239300817</v>
      </c>
      <c r="F50" s="122">
        <f t="shared" si="18"/>
        <v>339227.92984616803</v>
      </c>
      <c r="G50" s="63">
        <f t="shared" si="13"/>
        <v>-1017683.7895385041</v>
      </c>
      <c r="H50" s="63">
        <f t="shared" si="14"/>
        <v>-127210.47369231301</v>
      </c>
      <c r="I50" s="63">
        <f t="shared" si="15"/>
        <v>10696832.765608504</v>
      </c>
      <c r="J50" s="63">
        <f t="shared" si="1"/>
        <v>71237.865267695277</v>
      </c>
      <c r="K50" s="68">
        <f t="shared" si="2"/>
        <v>-3205703.937046288</v>
      </c>
      <c r="L50" s="63">
        <f t="shared" si="16"/>
        <v>-2246334.880777786</v>
      </c>
      <c r="M50" s="69">
        <f t="shared" si="12"/>
        <v>8450497.8848307189</v>
      </c>
      <c r="N50" s="64">
        <f t="shared" si="10"/>
        <v>12059552.906031273</v>
      </c>
      <c r="O50" s="63"/>
    </row>
    <row r="51" spans="1:15" x14ac:dyDescent="0.2">
      <c r="A51" s="61">
        <v>45351</v>
      </c>
      <c r="B51" s="61" t="s">
        <v>144</v>
      </c>
      <c r="C51" s="63"/>
      <c r="D51" s="63">
        <f t="shared" si="3"/>
        <v>16282940.632616065</v>
      </c>
      <c r="E51" s="63">
        <f t="shared" si="17"/>
        <v>11974211.470641211</v>
      </c>
      <c r="F51" s="122">
        <f t="shared" si="18"/>
        <v>339227.92984616803</v>
      </c>
      <c r="G51" s="63">
        <f t="shared" si="13"/>
        <v>-1356911.7193846721</v>
      </c>
      <c r="H51" s="63">
        <f t="shared" si="14"/>
        <v>-226151.95323077869</v>
      </c>
      <c r="I51" s="63">
        <f t="shared" si="15"/>
        <v>11748059.517410431</v>
      </c>
      <c r="J51" s="63">
        <f t="shared" si="1"/>
        <v>71237.865267695277</v>
      </c>
      <c r="K51" s="68">
        <f t="shared" si="2"/>
        <v>-3134466.0717785927</v>
      </c>
      <c r="L51" s="63">
        <f t="shared" si="16"/>
        <v>-2467092.4986561905</v>
      </c>
      <c r="M51" s="69">
        <f t="shared" si="12"/>
        <v>9280967.0187542401</v>
      </c>
      <c r="N51" s="64">
        <f t="shared" si="10"/>
        <v>11791562.8414528</v>
      </c>
    </row>
    <row r="52" spans="1:15" x14ac:dyDescent="0.2">
      <c r="A52" s="61">
        <v>45382</v>
      </c>
      <c r="B52" s="61" t="s">
        <v>144</v>
      </c>
      <c r="C52" s="63"/>
      <c r="D52" s="63">
        <f t="shared" si="3"/>
        <v>16282940.632616065</v>
      </c>
      <c r="E52" s="63">
        <f t="shared" si="17"/>
        <v>12987489.828534013</v>
      </c>
      <c r="F52" s="122">
        <f t="shared" si="18"/>
        <v>339227.92984616803</v>
      </c>
      <c r="G52" s="63">
        <f t="shared" si="13"/>
        <v>-1696139.6492308402</v>
      </c>
      <c r="H52" s="63">
        <f t="shared" si="14"/>
        <v>-353362.4269230917</v>
      </c>
      <c r="I52" s="63">
        <f t="shared" si="15"/>
        <v>12634127.40161092</v>
      </c>
      <c r="J52" s="63">
        <f t="shared" si="1"/>
        <v>71237.865267695277</v>
      </c>
      <c r="K52" s="68">
        <f t="shared" si="2"/>
        <v>-3063228.2065108973</v>
      </c>
      <c r="L52" s="63">
        <f t="shared" si="16"/>
        <v>-2653166.7543382929</v>
      </c>
      <c r="M52" s="69">
        <f t="shared" si="12"/>
        <v>9980960.6472726278</v>
      </c>
      <c r="N52" s="64">
        <f t="shared" si="10"/>
        <v>11523572.776874328</v>
      </c>
    </row>
    <row r="53" spans="1:15" x14ac:dyDescent="0.2">
      <c r="A53" s="61">
        <v>45412</v>
      </c>
      <c r="B53" s="61" t="s">
        <v>144</v>
      </c>
      <c r="C53" s="63"/>
      <c r="D53" s="63">
        <f t="shared" si="3"/>
        <v>16282940.632616065</v>
      </c>
      <c r="E53" s="63">
        <f t="shared" si="17"/>
        <v>13864298.181749916</v>
      </c>
      <c r="F53" s="122">
        <f t="shared" si="18"/>
        <v>339227.92984616803</v>
      </c>
      <c r="G53" s="63">
        <f t="shared" si="13"/>
        <v>-2035367.5790770082</v>
      </c>
      <c r="H53" s="63">
        <f t="shared" si="14"/>
        <v>-508841.8947692521</v>
      </c>
      <c r="I53" s="63">
        <f t="shared" si="15"/>
        <v>13355456.286980664</v>
      </c>
      <c r="J53" s="63">
        <f t="shared" si="1"/>
        <v>71237.865267695277</v>
      </c>
      <c r="K53" s="68">
        <f t="shared" si="2"/>
        <v>-2991990.3412432019</v>
      </c>
      <c r="L53" s="63">
        <f t="shared" si="16"/>
        <v>-2804645.820265939</v>
      </c>
      <c r="M53" s="69">
        <f t="shared" si="12"/>
        <v>10550810.466714725</v>
      </c>
      <c r="N53" s="64">
        <f t="shared" si="10"/>
        <v>11255582.712295854</v>
      </c>
    </row>
    <row r="54" spans="1:15" x14ac:dyDescent="0.2">
      <c r="A54" s="61">
        <v>45443</v>
      </c>
      <c r="B54" s="61" t="s">
        <v>144</v>
      </c>
      <c r="C54" s="63"/>
      <c r="D54" s="63">
        <f t="shared" si="3"/>
        <v>16282940.632616065</v>
      </c>
      <c r="E54" s="63">
        <f t="shared" si="17"/>
        <v>14605059.07367795</v>
      </c>
      <c r="F54" s="122">
        <f t="shared" si="18"/>
        <v>339227.92984616803</v>
      </c>
      <c r="G54" s="63">
        <f t="shared" si="13"/>
        <v>-2374595.5089231762</v>
      </c>
      <c r="H54" s="63">
        <f t="shared" si="14"/>
        <v>-692590.35676925979</v>
      </c>
      <c r="I54" s="63">
        <f t="shared" si="15"/>
        <v>13912468.71690869</v>
      </c>
      <c r="J54" s="63">
        <f t="shared" si="1"/>
        <v>71237.865267695277</v>
      </c>
      <c r="K54" s="68">
        <f t="shared" si="2"/>
        <v>-2920752.4759755065</v>
      </c>
      <c r="L54" s="63">
        <f t="shared" si="16"/>
        <v>-2921618.4305508249</v>
      </c>
      <c r="M54" s="69">
        <f t="shared" si="12"/>
        <v>10990850.286357865</v>
      </c>
      <c r="N54" s="64">
        <f t="shared" si="10"/>
        <v>10987592.647717383</v>
      </c>
    </row>
    <row r="55" spans="1:15" x14ac:dyDescent="0.2">
      <c r="A55" s="61">
        <v>45473</v>
      </c>
      <c r="B55" s="61" t="s">
        <v>144</v>
      </c>
      <c r="C55" s="63"/>
      <c r="D55" s="63">
        <f t="shared" si="3"/>
        <v>16282940.632616065</v>
      </c>
      <c r="E55" s="63">
        <f t="shared" si="17"/>
        <v>15210195.047707146</v>
      </c>
      <c r="F55" s="122">
        <f t="shared" si="18"/>
        <v>339227.92984616803</v>
      </c>
      <c r="G55" s="63">
        <f t="shared" si="13"/>
        <v>-2713823.4387693442</v>
      </c>
      <c r="H55" s="63">
        <f t="shared" si="14"/>
        <v>-904607.81292311475</v>
      </c>
      <c r="I55" s="63">
        <f t="shared" si="15"/>
        <v>14305587.234784031</v>
      </c>
      <c r="J55" s="63">
        <f t="shared" si="1"/>
        <v>71237.865267695277</v>
      </c>
      <c r="K55" s="68">
        <f t="shared" si="2"/>
        <v>-2849514.6107078111</v>
      </c>
      <c r="L55" s="63">
        <f t="shared" si="16"/>
        <v>-3004173.3193046465</v>
      </c>
      <c r="M55" s="69">
        <f t="shared" si="12"/>
        <v>11301413.915479384</v>
      </c>
      <c r="N55" s="64">
        <f t="shared" si="10"/>
        <v>10719602.583138909</v>
      </c>
    </row>
    <row r="56" spans="1:15" x14ac:dyDescent="0.2">
      <c r="A56" s="61">
        <v>45504</v>
      </c>
      <c r="B56" s="61" t="s">
        <v>144</v>
      </c>
      <c r="C56" s="63"/>
      <c r="D56" s="63">
        <f t="shared" si="3"/>
        <v>16282940.632616065</v>
      </c>
      <c r="E56" s="63">
        <f t="shared" si="17"/>
        <v>15680128.647226527</v>
      </c>
      <c r="F56" s="122">
        <f t="shared" si="18"/>
        <v>339227.92984616803</v>
      </c>
      <c r="G56" s="63">
        <f t="shared" si="13"/>
        <v>-3053051.3686155123</v>
      </c>
      <c r="H56" s="63">
        <f t="shared" si="14"/>
        <v>-1144894.2632308172</v>
      </c>
      <c r="I56" s="63">
        <f t="shared" si="15"/>
        <v>14535234.38399571</v>
      </c>
      <c r="J56" s="63">
        <f t="shared" si="1"/>
        <v>71237.865267695277</v>
      </c>
      <c r="K56" s="68">
        <f t="shared" si="2"/>
        <v>-2778276.7454401157</v>
      </c>
      <c r="L56" s="63">
        <f t="shared" si="16"/>
        <v>-3052399.2206390984</v>
      </c>
      <c r="M56" s="69">
        <f t="shared" si="12"/>
        <v>11482835.163356612</v>
      </c>
      <c r="N56" s="64">
        <f t="shared" si="10"/>
        <v>10451612.518560437</v>
      </c>
    </row>
    <row r="57" spans="1:15" x14ac:dyDescent="0.2">
      <c r="A57" s="61">
        <v>45535</v>
      </c>
      <c r="B57" s="61" t="s">
        <v>144</v>
      </c>
      <c r="C57" s="63"/>
      <c r="D57" s="63">
        <f t="shared" si="3"/>
        <v>16282940.632616065</v>
      </c>
      <c r="E57" s="63">
        <f t="shared" si="17"/>
        <v>16015282.41562512</v>
      </c>
      <c r="F57" s="122">
        <f t="shared" si="18"/>
        <v>339227.92984616803</v>
      </c>
      <c r="G57" s="63">
        <f t="shared" si="13"/>
        <v>-3392279.2984616803</v>
      </c>
      <c r="H57" s="63">
        <f t="shared" si="14"/>
        <v>-1413449.7076923668</v>
      </c>
      <c r="I57" s="63">
        <f t="shared" si="15"/>
        <v>14601832.707932753</v>
      </c>
      <c r="J57" s="63">
        <f t="shared" si="1"/>
        <v>71237.865267695277</v>
      </c>
      <c r="K57" s="68">
        <f t="shared" si="2"/>
        <v>-2707038.8801724203</v>
      </c>
      <c r="L57" s="63">
        <f t="shared" si="16"/>
        <v>-3066384.8686658782</v>
      </c>
      <c r="M57" s="69">
        <f t="shared" si="12"/>
        <v>11535447.839266876</v>
      </c>
      <c r="N57" s="64">
        <f t="shared" si="10"/>
        <v>10183622.453981966</v>
      </c>
    </row>
    <row r="58" spans="1:15" x14ac:dyDescent="0.2">
      <c r="A58" s="61">
        <v>45565</v>
      </c>
      <c r="B58" s="61" t="s">
        <v>144</v>
      </c>
      <c r="C58" s="63"/>
      <c r="D58" s="63">
        <f t="shared" si="3"/>
        <v>16282940.632616065</v>
      </c>
      <c r="E58" s="63">
        <f t="shared" si="17"/>
        <v>16216078.896291962</v>
      </c>
      <c r="F58" s="122">
        <f t="shared" si="18"/>
        <v>339227.92984616803</v>
      </c>
      <c r="G58" s="63">
        <f t="shared" si="13"/>
        <v>-3731507.2283078483</v>
      </c>
      <c r="H58" s="63">
        <f t="shared" si="14"/>
        <v>-1710274.1463077639</v>
      </c>
      <c r="I58" s="63">
        <f t="shared" si="15"/>
        <v>14505804.749984197</v>
      </c>
      <c r="J58" s="63">
        <f t="shared" si="1"/>
        <v>71237.865267695277</v>
      </c>
      <c r="K58" s="68">
        <f t="shared" si="2"/>
        <v>-2635801.0149047249</v>
      </c>
      <c r="L58" s="63">
        <f t="shared" si="16"/>
        <v>-3046218.9974966808</v>
      </c>
      <c r="M58" s="69">
        <f t="shared" si="12"/>
        <v>11459585.752487516</v>
      </c>
      <c r="N58" s="64">
        <f t="shared" si="10"/>
        <v>9915632.3894034922</v>
      </c>
    </row>
    <row r="59" spans="1:15" ht="13.5" thickBot="1" x14ac:dyDescent="0.25">
      <c r="A59" s="61">
        <v>45596</v>
      </c>
      <c r="B59" s="61" t="s">
        <v>144</v>
      </c>
      <c r="C59" s="63"/>
      <c r="D59" s="63">
        <f t="shared" si="3"/>
        <v>16282940.632616065</v>
      </c>
      <c r="E59" s="63">
        <f t="shared" si="17"/>
        <v>16282940.632616071</v>
      </c>
      <c r="F59" s="122">
        <f t="shared" si="18"/>
        <v>339227.92984616803</v>
      </c>
      <c r="G59" s="63">
        <f t="shared" si="13"/>
        <v>-4070735.1581540164</v>
      </c>
      <c r="H59" s="63">
        <f t="shared" si="14"/>
        <v>-2035367.5790770082</v>
      </c>
      <c r="I59" s="63">
        <f t="shared" si="15"/>
        <v>14247573.053539064</v>
      </c>
      <c r="J59" s="63">
        <f t="shared" si="1"/>
        <v>71237.865267695277</v>
      </c>
      <c r="K59" s="68">
        <f t="shared" si="2"/>
        <v>-2564563.1496370295</v>
      </c>
      <c r="L59" s="63">
        <f t="shared" si="16"/>
        <v>-2991990.3412432019</v>
      </c>
      <c r="M59" s="69">
        <f t="shared" si="12"/>
        <v>11255582.712295862</v>
      </c>
      <c r="N59" s="64">
        <f t="shared" si="10"/>
        <v>9647642.3248250186</v>
      </c>
    </row>
    <row r="60" spans="1:15" x14ac:dyDescent="0.2">
      <c r="A60" s="134">
        <v>45626</v>
      </c>
      <c r="B60" s="141" t="s">
        <v>145</v>
      </c>
      <c r="C60" s="136"/>
      <c r="D60" s="136">
        <f t="shared" si="3"/>
        <v>16282940.632616065</v>
      </c>
      <c r="E60" s="136">
        <f t="shared" si="17"/>
        <v>16282940.632616071</v>
      </c>
      <c r="F60" s="148">
        <f t="shared" si="18"/>
        <v>339227.92984616803</v>
      </c>
      <c r="G60" s="136">
        <f t="shared" si="13"/>
        <v>-4409963.0880001839</v>
      </c>
      <c r="H60" s="136">
        <f t="shared" si="14"/>
        <v>-2374595.5089231762</v>
      </c>
      <c r="I60" s="136">
        <f t="shared" si="15"/>
        <v>13908345.123692894</v>
      </c>
      <c r="J60" s="136">
        <f t="shared" si="1"/>
        <v>71237.865267695277</v>
      </c>
      <c r="K60" s="138">
        <f t="shared" si="2"/>
        <v>-2493325.2843693341</v>
      </c>
      <c r="L60" s="136">
        <f t="shared" si="16"/>
        <v>-2920752.4759755065</v>
      </c>
      <c r="M60" s="139">
        <f t="shared" si="12"/>
        <v>10987592.647717388</v>
      </c>
      <c r="N60" s="140">
        <f t="shared" si="10"/>
        <v>9379652.2602465469</v>
      </c>
    </row>
    <row r="61" spans="1:15" x14ac:dyDescent="0.2">
      <c r="A61" s="61">
        <v>45657</v>
      </c>
      <c r="B61" s="30" t="s">
        <v>145</v>
      </c>
      <c r="C61" s="63"/>
      <c r="D61" s="63">
        <f t="shared" si="3"/>
        <v>16282940.632616065</v>
      </c>
      <c r="E61" s="63">
        <f t="shared" si="17"/>
        <v>16282940.632616071</v>
      </c>
      <c r="F61" s="122">
        <f t="shared" si="18"/>
        <v>339227.92984616803</v>
      </c>
      <c r="G61" s="63">
        <f t="shared" si="13"/>
        <v>-4749191.0178463515</v>
      </c>
      <c r="H61" s="63">
        <f t="shared" si="14"/>
        <v>-2713823.4387693438</v>
      </c>
      <c r="I61" s="63">
        <f t="shared" si="15"/>
        <v>13569117.193846727</v>
      </c>
      <c r="J61" s="63">
        <f t="shared" si="1"/>
        <v>71237.865267695277</v>
      </c>
      <c r="K61" s="68">
        <f t="shared" si="2"/>
        <v>-2422087.4191016387</v>
      </c>
      <c r="L61" s="63">
        <f t="shared" si="16"/>
        <v>-2849514.6107078106</v>
      </c>
      <c r="M61" s="69">
        <f t="shared" si="12"/>
        <v>10719602.583138917</v>
      </c>
      <c r="N61" s="64">
        <f t="shared" si="10"/>
        <v>9111662.1956680752</v>
      </c>
    </row>
    <row r="62" spans="1:15" x14ac:dyDescent="0.2">
      <c r="A62" s="61">
        <v>45688</v>
      </c>
      <c r="B62" s="30" t="s">
        <v>145</v>
      </c>
      <c r="C62" s="63"/>
      <c r="D62" s="63">
        <f t="shared" si="3"/>
        <v>16282940.632616065</v>
      </c>
      <c r="E62" s="63">
        <f t="shared" si="17"/>
        <v>16282940.632616071</v>
      </c>
      <c r="F62" s="122">
        <f t="shared" si="18"/>
        <v>339227.92984616803</v>
      </c>
      <c r="G62" s="63">
        <f t="shared" si="13"/>
        <v>-5088418.9476925191</v>
      </c>
      <c r="H62" s="63">
        <f t="shared" si="14"/>
        <v>-3053051.3686155118</v>
      </c>
      <c r="I62" s="63">
        <f t="shared" si="15"/>
        <v>13229889.264000559</v>
      </c>
      <c r="J62" s="63">
        <f t="shared" si="1"/>
        <v>71237.865267695277</v>
      </c>
      <c r="K62" s="68">
        <f t="shared" si="2"/>
        <v>-2350849.5538339433</v>
      </c>
      <c r="L62" s="63">
        <f t="shared" si="16"/>
        <v>-2778276.7454401152</v>
      </c>
      <c r="M62" s="69">
        <f t="shared" si="12"/>
        <v>10451612.518560443</v>
      </c>
      <c r="N62" s="64">
        <f t="shared" si="10"/>
        <v>8843672.1310896035</v>
      </c>
    </row>
    <row r="63" spans="1:15" x14ac:dyDescent="0.2">
      <c r="A63" s="61">
        <v>45716</v>
      </c>
      <c r="B63" s="30" t="s">
        <v>145</v>
      </c>
      <c r="C63" s="63"/>
      <c r="D63" s="63">
        <f t="shared" si="3"/>
        <v>16282940.632616065</v>
      </c>
      <c r="E63" s="63">
        <f t="shared" si="17"/>
        <v>16282940.632616071</v>
      </c>
      <c r="F63" s="122">
        <f t="shared" si="18"/>
        <v>339227.92984616803</v>
      </c>
      <c r="G63" s="63">
        <f t="shared" si="13"/>
        <v>-5427646.8775386866</v>
      </c>
      <c r="H63" s="63">
        <f t="shared" si="14"/>
        <v>-3392279.2984616808</v>
      </c>
      <c r="I63" s="63">
        <f t="shared" si="15"/>
        <v>12890661.33415439</v>
      </c>
      <c r="J63" s="63">
        <f t="shared" si="1"/>
        <v>71237.865267695277</v>
      </c>
      <c r="K63" s="68">
        <f t="shared" si="2"/>
        <v>-2279611.6885662479</v>
      </c>
      <c r="L63" s="63">
        <f t="shared" si="16"/>
        <v>-2707038.8801724203</v>
      </c>
      <c r="M63" s="69">
        <f t="shared" si="12"/>
        <v>10183622.45398197</v>
      </c>
      <c r="N63" s="64">
        <f t="shared" si="10"/>
        <v>8575682.0665111318</v>
      </c>
    </row>
    <row r="64" spans="1:15" x14ac:dyDescent="0.2">
      <c r="A64" s="61">
        <v>45747</v>
      </c>
      <c r="B64" s="30" t="s">
        <v>145</v>
      </c>
      <c r="C64" s="63"/>
      <c r="D64" s="63">
        <f t="shared" si="3"/>
        <v>16282940.632616065</v>
      </c>
      <c r="E64" s="63">
        <f t="shared" si="17"/>
        <v>16282940.632616071</v>
      </c>
      <c r="F64" s="122">
        <f t="shared" si="18"/>
        <v>339227.92984616803</v>
      </c>
      <c r="G64" s="63">
        <f t="shared" si="13"/>
        <v>-5766874.8073848542</v>
      </c>
      <c r="H64" s="63">
        <f t="shared" si="14"/>
        <v>-3731507.2283078483</v>
      </c>
      <c r="I64" s="63">
        <f t="shared" si="15"/>
        <v>12551433.404308222</v>
      </c>
      <c r="J64" s="63">
        <f t="shared" si="1"/>
        <v>71237.865267695277</v>
      </c>
      <c r="K64" s="68">
        <f t="shared" si="2"/>
        <v>-2208373.8232985525</v>
      </c>
      <c r="L64" s="63">
        <f t="shared" si="16"/>
        <v>-2635801.0149047249</v>
      </c>
      <c r="M64" s="69">
        <f t="shared" si="12"/>
        <v>9915632.3894034978</v>
      </c>
      <c r="N64" s="64">
        <f t="shared" si="10"/>
        <v>8307692.0019326583</v>
      </c>
    </row>
    <row r="65" spans="1:14" x14ac:dyDescent="0.2">
      <c r="A65" s="61">
        <v>45777</v>
      </c>
      <c r="B65" s="30" t="s">
        <v>145</v>
      </c>
      <c r="C65" s="63"/>
      <c r="D65" s="63">
        <f t="shared" si="3"/>
        <v>16282940.632616065</v>
      </c>
      <c r="E65" s="63">
        <f t="shared" si="17"/>
        <v>16282940.632616071</v>
      </c>
      <c r="F65" s="122">
        <f t="shared" si="18"/>
        <v>339227.92984616803</v>
      </c>
      <c r="G65" s="63">
        <f t="shared" si="13"/>
        <v>-6106102.7372310217</v>
      </c>
      <c r="H65" s="63">
        <f t="shared" si="14"/>
        <v>-4070735.1581540164</v>
      </c>
      <c r="I65" s="63">
        <f t="shared" si="15"/>
        <v>12212205.474462055</v>
      </c>
      <c r="J65" s="63">
        <f t="shared" si="1"/>
        <v>71237.865267695277</v>
      </c>
      <c r="K65" s="68">
        <f t="shared" si="2"/>
        <v>-2137135.9580308571</v>
      </c>
      <c r="L65" s="63">
        <f t="shared" si="16"/>
        <v>-2564563.149637029</v>
      </c>
      <c r="M65" s="69">
        <f t="shared" si="12"/>
        <v>9647642.3248250261</v>
      </c>
      <c r="N65" s="64">
        <f t="shared" si="10"/>
        <v>8039701.9373541865</v>
      </c>
    </row>
    <row r="66" spans="1:14" x14ac:dyDescent="0.2">
      <c r="A66" s="61">
        <v>45808</v>
      </c>
      <c r="B66" s="30" t="s">
        <v>145</v>
      </c>
      <c r="C66" s="63"/>
      <c r="D66" s="63">
        <f t="shared" si="3"/>
        <v>16282940.632616065</v>
      </c>
      <c r="E66" s="63">
        <f t="shared" si="17"/>
        <v>16282940.632616071</v>
      </c>
      <c r="F66" s="122">
        <f t="shared" si="18"/>
        <v>339227.92984616803</v>
      </c>
      <c r="G66" s="63">
        <f t="shared" si="13"/>
        <v>-6445330.6670771893</v>
      </c>
      <c r="H66" s="63">
        <f t="shared" si="14"/>
        <v>-4409963.0880001849</v>
      </c>
      <c r="I66" s="63">
        <f t="shared" si="15"/>
        <v>11872977.544615887</v>
      </c>
      <c r="J66" s="63">
        <f t="shared" si="1"/>
        <v>71237.865267695277</v>
      </c>
      <c r="K66" s="68">
        <f t="shared" si="2"/>
        <v>-2065898.0927631618</v>
      </c>
      <c r="L66" s="63">
        <f t="shared" si="16"/>
        <v>-2493325.2843693341</v>
      </c>
      <c r="M66" s="69">
        <f t="shared" si="12"/>
        <v>9379652.2602465525</v>
      </c>
      <c r="N66" s="64">
        <f t="shared" si="10"/>
        <v>7771711.8727757148</v>
      </c>
    </row>
    <row r="67" spans="1:14" x14ac:dyDescent="0.2">
      <c r="A67" s="61">
        <v>45838</v>
      </c>
      <c r="B67" s="30" t="s">
        <v>145</v>
      </c>
      <c r="C67" s="63"/>
      <c r="D67" s="63">
        <f t="shared" si="3"/>
        <v>16282940.632616065</v>
      </c>
      <c r="E67" s="63">
        <f t="shared" si="17"/>
        <v>16282940.632616071</v>
      </c>
      <c r="F67" s="122">
        <f t="shared" si="18"/>
        <v>339227.92984616803</v>
      </c>
      <c r="G67" s="63">
        <f t="shared" si="13"/>
        <v>-6784558.5969233569</v>
      </c>
      <c r="H67" s="63">
        <f t="shared" si="14"/>
        <v>-4749191.0178463524</v>
      </c>
      <c r="I67" s="63">
        <f t="shared" si="15"/>
        <v>11533749.61476972</v>
      </c>
      <c r="J67" s="63">
        <f t="shared" si="1"/>
        <v>71237.865267695277</v>
      </c>
      <c r="K67" s="68">
        <f t="shared" si="2"/>
        <v>-1994660.2274954664</v>
      </c>
      <c r="L67" s="63">
        <f t="shared" si="16"/>
        <v>-2422087.4191016387</v>
      </c>
      <c r="M67" s="69">
        <f t="shared" si="12"/>
        <v>9111662.1956680808</v>
      </c>
      <c r="N67" s="64">
        <f t="shared" si="10"/>
        <v>7503721.8081972422</v>
      </c>
    </row>
    <row r="68" spans="1:14" x14ac:dyDescent="0.2">
      <c r="A68" s="61">
        <v>45869</v>
      </c>
      <c r="B68" s="30" t="s">
        <v>145</v>
      </c>
      <c r="C68" s="63"/>
      <c r="D68" s="63">
        <f t="shared" si="3"/>
        <v>16282940.632616065</v>
      </c>
      <c r="E68" s="63">
        <f t="shared" si="17"/>
        <v>16282940.632616071</v>
      </c>
      <c r="F68" s="122">
        <f t="shared" si="18"/>
        <v>339227.92984616803</v>
      </c>
      <c r="G68" s="63">
        <f t="shared" si="13"/>
        <v>-7123786.5267695244</v>
      </c>
      <c r="H68" s="63">
        <f t="shared" si="14"/>
        <v>-5088418.94769252</v>
      </c>
      <c r="I68" s="63">
        <f t="shared" si="15"/>
        <v>11194521.684923552</v>
      </c>
      <c r="J68" s="63">
        <f t="shared" si="1"/>
        <v>71237.865267695277</v>
      </c>
      <c r="K68" s="68">
        <f t="shared" si="2"/>
        <v>-1923422.362227771</v>
      </c>
      <c r="L68" s="63">
        <f t="shared" si="16"/>
        <v>-2350849.5538339433</v>
      </c>
      <c r="M68" s="69">
        <f t="shared" si="12"/>
        <v>8843672.1310896091</v>
      </c>
      <c r="N68" s="64">
        <f t="shared" si="10"/>
        <v>7235731.7436187696</v>
      </c>
    </row>
    <row r="69" spans="1:14" x14ac:dyDescent="0.2">
      <c r="A69" s="61">
        <v>45900</v>
      </c>
      <c r="B69" s="30" t="s">
        <v>145</v>
      </c>
      <c r="C69" s="63"/>
      <c r="D69" s="63">
        <f t="shared" si="3"/>
        <v>16282940.632616065</v>
      </c>
      <c r="E69" s="63">
        <f t="shared" si="17"/>
        <v>16282940.632616071</v>
      </c>
      <c r="F69" s="122">
        <f t="shared" si="18"/>
        <v>339227.92984616803</v>
      </c>
      <c r="G69" s="63">
        <f t="shared" si="13"/>
        <v>-7463014.456615692</v>
      </c>
      <c r="H69" s="63">
        <f t="shared" si="14"/>
        <v>-5427646.8775386875</v>
      </c>
      <c r="I69" s="63">
        <f t="shared" si="15"/>
        <v>10855293.755077384</v>
      </c>
      <c r="J69" s="63">
        <f t="shared" si="1"/>
        <v>71237.865267695277</v>
      </c>
      <c r="K69" s="68">
        <f t="shared" si="2"/>
        <v>-1852184.4969600756</v>
      </c>
      <c r="L69" s="63">
        <f t="shared" si="16"/>
        <v>-2279611.6885662479</v>
      </c>
      <c r="M69" s="69">
        <f t="shared" si="12"/>
        <v>8575682.0665111355</v>
      </c>
      <c r="N69" s="64">
        <f t="shared" si="10"/>
        <v>6967741.6790402979</v>
      </c>
    </row>
    <row r="70" spans="1:14" x14ac:dyDescent="0.2">
      <c r="A70" s="61">
        <v>45930</v>
      </c>
      <c r="B70" s="30" t="s">
        <v>145</v>
      </c>
      <c r="C70" s="63"/>
      <c r="D70" s="63">
        <f t="shared" si="3"/>
        <v>16282940.632616065</v>
      </c>
      <c r="E70" s="63">
        <f t="shared" si="17"/>
        <v>16282940.632616071</v>
      </c>
      <c r="F70" s="122">
        <f t="shared" si="18"/>
        <v>339227.92984616803</v>
      </c>
      <c r="G70" s="63">
        <f t="shared" si="13"/>
        <v>-7802242.3864618596</v>
      </c>
      <c r="H70" s="63">
        <f t="shared" si="14"/>
        <v>-5766874.8073848551</v>
      </c>
      <c r="I70" s="63">
        <f t="shared" si="15"/>
        <v>10516065.825231217</v>
      </c>
      <c r="J70" s="63">
        <f t="shared" si="1"/>
        <v>71237.865267695277</v>
      </c>
      <c r="K70" s="68">
        <f t="shared" si="2"/>
        <v>-1780946.6316923802</v>
      </c>
      <c r="L70" s="63">
        <f t="shared" si="16"/>
        <v>-2208373.8232985525</v>
      </c>
      <c r="M70" s="69">
        <f t="shared" si="12"/>
        <v>8307692.0019326638</v>
      </c>
      <c r="N70" s="64">
        <f t="shared" si="10"/>
        <v>6699751.6144618262</v>
      </c>
    </row>
    <row r="71" spans="1:14" ht="13.5" thickBot="1" x14ac:dyDescent="0.25">
      <c r="A71" s="61">
        <v>45961</v>
      </c>
      <c r="B71" s="30" t="s">
        <v>145</v>
      </c>
      <c r="C71" s="63"/>
      <c r="D71" s="63">
        <f t="shared" si="3"/>
        <v>16282940.632616065</v>
      </c>
      <c r="E71" s="63">
        <f t="shared" si="17"/>
        <v>16282940.632616071</v>
      </c>
      <c r="F71" s="122">
        <f t="shared" si="18"/>
        <v>339227.92984616803</v>
      </c>
      <c r="G71" s="63">
        <f t="shared" si="13"/>
        <v>-8141470.3163080271</v>
      </c>
      <c r="H71" s="63">
        <f t="shared" si="14"/>
        <v>-6106102.7372310227</v>
      </c>
      <c r="I71" s="63">
        <f t="shared" si="15"/>
        <v>10176837.895385049</v>
      </c>
      <c r="J71" s="63">
        <f t="shared" si="1"/>
        <v>71237.865267695277</v>
      </c>
      <c r="K71" s="68">
        <f t="shared" si="2"/>
        <v>-1709708.7664246848</v>
      </c>
      <c r="L71" s="63">
        <f t="shared" si="16"/>
        <v>-2137135.9580308571</v>
      </c>
      <c r="M71" s="69">
        <f t="shared" si="12"/>
        <v>8039701.9373541921</v>
      </c>
      <c r="N71" s="64">
        <f t="shared" si="10"/>
        <v>6431761.5498833535</v>
      </c>
    </row>
    <row r="72" spans="1:14" x14ac:dyDescent="0.2">
      <c r="A72" s="134">
        <v>45991</v>
      </c>
      <c r="B72" s="141" t="s">
        <v>146</v>
      </c>
      <c r="C72" s="136"/>
      <c r="D72" s="136">
        <f t="shared" si="3"/>
        <v>16282940.632616065</v>
      </c>
      <c r="E72" s="136">
        <f t="shared" si="17"/>
        <v>16282940.632616071</v>
      </c>
      <c r="F72" s="148">
        <f t="shared" si="18"/>
        <v>339227.92984616803</v>
      </c>
      <c r="G72" s="136">
        <f t="shared" si="13"/>
        <v>-8480698.2461541947</v>
      </c>
      <c r="H72" s="136">
        <f t="shared" si="14"/>
        <v>-6445330.6670771902</v>
      </c>
      <c r="I72" s="136">
        <f t="shared" si="15"/>
        <v>9837609.9655388817</v>
      </c>
      <c r="J72" s="136">
        <f t="shared" si="1"/>
        <v>71237.865267695277</v>
      </c>
      <c r="K72" s="138">
        <f t="shared" si="2"/>
        <v>-1638470.9011569894</v>
      </c>
      <c r="L72" s="136">
        <f t="shared" si="16"/>
        <v>-2065898.092763162</v>
      </c>
      <c r="M72" s="139">
        <f t="shared" si="12"/>
        <v>7771711.8727757195</v>
      </c>
      <c r="N72" s="140">
        <f t="shared" si="10"/>
        <v>6163771.4853048809</v>
      </c>
    </row>
    <row r="73" spans="1:14" x14ac:dyDescent="0.2">
      <c r="A73" s="61">
        <v>46022</v>
      </c>
      <c r="B73" s="30" t="s">
        <v>146</v>
      </c>
      <c r="C73" s="63"/>
      <c r="D73" s="63">
        <f t="shared" si="3"/>
        <v>16282940.632616065</v>
      </c>
      <c r="E73" s="63">
        <f t="shared" si="17"/>
        <v>16282940.632616071</v>
      </c>
      <c r="F73" s="122">
        <f t="shared" si="18"/>
        <v>339227.92984616803</v>
      </c>
      <c r="G73" s="63">
        <f t="shared" si="13"/>
        <v>-8819926.1760003623</v>
      </c>
      <c r="H73" s="63">
        <f t="shared" si="14"/>
        <v>-6784558.5969233578</v>
      </c>
      <c r="I73" s="63">
        <f t="shared" si="15"/>
        <v>9498382.0356927142</v>
      </c>
      <c r="J73" s="63">
        <f t="shared" si="1"/>
        <v>71237.865267695277</v>
      </c>
      <c r="K73" s="68">
        <f t="shared" si="2"/>
        <v>-1567233.035889294</v>
      </c>
      <c r="L73" s="63">
        <f t="shared" si="16"/>
        <v>-1994660.2274954661</v>
      </c>
      <c r="M73" s="69">
        <f t="shared" si="12"/>
        <v>7503721.8081972478</v>
      </c>
      <c r="N73" s="64">
        <f t="shared" si="10"/>
        <v>5895781.4207264092</v>
      </c>
    </row>
    <row r="74" spans="1:14" x14ac:dyDescent="0.2">
      <c r="A74" s="61">
        <v>46053</v>
      </c>
      <c r="B74" s="30" t="s">
        <v>146</v>
      </c>
      <c r="C74" s="30"/>
      <c r="D74" s="63">
        <f t="shared" si="3"/>
        <v>16282940.632616065</v>
      </c>
      <c r="E74" s="63">
        <f t="shared" si="17"/>
        <v>16282940.632616071</v>
      </c>
      <c r="F74" s="122">
        <f t="shared" si="18"/>
        <v>339227.92984616803</v>
      </c>
      <c r="G74" s="63">
        <f t="shared" si="13"/>
        <v>-9159154.1058465298</v>
      </c>
      <c r="H74" s="63">
        <f t="shared" si="14"/>
        <v>-7123786.5267695235</v>
      </c>
      <c r="I74" s="63">
        <f t="shared" si="15"/>
        <v>9159154.1058465466</v>
      </c>
      <c r="J74" s="63">
        <f t="shared" si="1"/>
        <v>71237.865267695277</v>
      </c>
      <c r="K74" s="68">
        <f t="shared" si="2"/>
        <v>-1495995.1706215986</v>
      </c>
      <c r="L74" s="63">
        <f t="shared" si="16"/>
        <v>-1923422.3622277707</v>
      </c>
      <c r="M74" s="69">
        <f t="shared" si="12"/>
        <v>7235731.7436187761</v>
      </c>
      <c r="N74" s="64">
        <f t="shared" si="10"/>
        <v>5627791.3561479375</v>
      </c>
    </row>
    <row r="75" spans="1:14" x14ac:dyDescent="0.2">
      <c r="A75" s="61">
        <v>46081</v>
      </c>
      <c r="B75" s="30" t="s">
        <v>146</v>
      </c>
      <c r="C75" s="30"/>
      <c r="D75" s="63">
        <f t="shared" si="3"/>
        <v>16282940.632616065</v>
      </c>
      <c r="E75" s="63">
        <f t="shared" si="17"/>
        <v>16282940.632616071</v>
      </c>
      <c r="F75" s="122">
        <f t="shared" si="18"/>
        <v>339227.92984616803</v>
      </c>
      <c r="G75" s="63">
        <f t="shared" si="13"/>
        <v>-9498382.0356926974</v>
      </c>
      <c r="H75" s="63">
        <f t="shared" si="14"/>
        <v>-7463014.4566156911</v>
      </c>
      <c r="I75" s="63">
        <f t="shared" si="15"/>
        <v>8819926.176000379</v>
      </c>
      <c r="J75" s="63">
        <f t="shared" si="1"/>
        <v>71237.865267695277</v>
      </c>
      <c r="K75" s="68">
        <f t="shared" si="2"/>
        <v>-1424757.3053539032</v>
      </c>
      <c r="L75" s="63">
        <f t="shared" si="16"/>
        <v>-1852184.4969600756</v>
      </c>
      <c r="M75" s="69">
        <f t="shared" si="12"/>
        <v>6967741.6790403035</v>
      </c>
      <c r="N75" s="64">
        <f t="shared" si="10"/>
        <v>5359801.2915694648</v>
      </c>
    </row>
    <row r="76" spans="1:14" x14ac:dyDescent="0.2">
      <c r="A76" s="61">
        <v>46112</v>
      </c>
      <c r="B76" s="30" t="s">
        <v>146</v>
      </c>
      <c r="C76" s="30"/>
      <c r="D76" s="63">
        <f t="shared" si="3"/>
        <v>16282940.632616065</v>
      </c>
      <c r="E76" s="63">
        <f t="shared" si="17"/>
        <v>16282940.632616071</v>
      </c>
      <c r="F76" s="122">
        <f t="shared" si="18"/>
        <v>339227.92984616803</v>
      </c>
      <c r="G76" s="63">
        <f t="shared" si="13"/>
        <v>-9837609.965538865</v>
      </c>
      <c r="H76" s="63">
        <f t="shared" si="14"/>
        <v>-7802242.3864618586</v>
      </c>
      <c r="I76" s="63">
        <f t="shared" si="15"/>
        <v>8480698.2461542115</v>
      </c>
      <c r="J76" s="63">
        <f t="shared" si="1"/>
        <v>71237.865267695277</v>
      </c>
      <c r="K76" s="68">
        <f t="shared" si="2"/>
        <v>-1353519.4400862078</v>
      </c>
      <c r="L76" s="63">
        <f t="shared" si="16"/>
        <v>-1780946.6316923799</v>
      </c>
      <c r="M76" s="69">
        <f t="shared" si="12"/>
        <v>6699751.6144618317</v>
      </c>
      <c r="N76" s="64">
        <f t="shared" si="10"/>
        <v>5091811.2269909922</v>
      </c>
    </row>
    <row r="77" spans="1:14" x14ac:dyDescent="0.2">
      <c r="A77" s="61">
        <v>46142</v>
      </c>
      <c r="B77" s="30" t="s">
        <v>146</v>
      </c>
      <c r="C77" s="30"/>
      <c r="D77" s="63">
        <f t="shared" si="3"/>
        <v>16282940.632616065</v>
      </c>
      <c r="E77" s="63">
        <f t="shared" si="17"/>
        <v>16282940.632616071</v>
      </c>
      <c r="F77" s="122">
        <f t="shared" si="18"/>
        <v>339227.92984616803</v>
      </c>
      <c r="G77" s="63">
        <f t="shared" si="13"/>
        <v>-10176837.895385033</v>
      </c>
      <c r="H77" s="63">
        <f t="shared" si="14"/>
        <v>-8141470.3163080262</v>
      </c>
      <c r="I77" s="63">
        <f t="shared" si="15"/>
        <v>8141470.3163080448</v>
      </c>
      <c r="J77" s="63">
        <f t="shared" si="1"/>
        <v>71237.865267695277</v>
      </c>
      <c r="K77" s="68">
        <f t="shared" si="2"/>
        <v>-1282281.5748185124</v>
      </c>
      <c r="L77" s="63">
        <f t="shared" si="16"/>
        <v>-1709708.7664246848</v>
      </c>
      <c r="M77" s="69">
        <f t="shared" si="12"/>
        <v>6431761.54988336</v>
      </c>
      <c r="N77" s="64">
        <f t="shared" si="10"/>
        <v>4823821.1624125205</v>
      </c>
    </row>
    <row r="78" spans="1:14" x14ac:dyDescent="0.2">
      <c r="A78" s="61">
        <v>46173</v>
      </c>
      <c r="B78" s="30" t="s">
        <v>146</v>
      </c>
      <c r="C78" s="30"/>
      <c r="D78" s="63">
        <f t="shared" si="3"/>
        <v>16282940.632616065</v>
      </c>
      <c r="E78" s="63">
        <f t="shared" si="17"/>
        <v>16282940.632616071</v>
      </c>
      <c r="F78" s="122">
        <f t="shared" si="18"/>
        <v>339227.92984616803</v>
      </c>
      <c r="G78" s="63">
        <f t="shared" si="13"/>
        <v>-10516065.8252312</v>
      </c>
      <c r="H78" s="63">
        <f t="shared" si="14"/>
        <v>-8480698.2461541947</v>
      </c>
      <c r="I78" s="63">
        <f t="shared" si="15"/>
        <v>7802242.3864618763</v>
      </c>
      <c r="J78" s="63">
        <f t="shared" si="1"/>
        <v>71237.865267695277</v>
      </c>
      <c r="K78" s="68">
        <f t="shared" si="2"/>
        <v>-1211043.709550817</v>
      </c>
      <c r="L78" s="63">
        <f t="shared" si="16"/>
        <v>-1638470.9011569889</v>
      </c>
      <c r="M78" s="69">
        <f t="shared" si="12"/>
        <v>6163771.4853048874</v>
      </c>
      <c r="N78" s="64">
        <f t="shared" si="10"/>
        <v>4555831.0978340488</v>
      </c>
    </row>
    <row r="79" spans="1:14" x14ac:dyDescent="0.2">
      <c r="A79" s="61">
        <v>46203</v>
      </c>
      <c r="B79" s="30" t="s">
        <v>146</v>
      </c>
      <c r="D79" s="63">
        <f t="shared" si="3"/>
        <v>16282940.632616065</v>
      </c>
      <c r="E79" s="63">
        <f t="shared" si="17"/>
        <v>16282940.632616071</v>
      </c>
      <c r="F79" s="122">
        <f t="shared" si="18"/>
        <v>339227.92984616803</v>
      </c>
      <c r="G79" s="63">
        <f t="shared" si="13"/>
        <v>-10855293.755077368</v>
      </c>
      <c r="H79" s="63">
        <f t="shared" si="14"/>
        <v>-8819926.1760003623</v>
      </c>
      <c r="I79" s="63">
        <f t="shared" si="15"/>
        <v>7463014.4566157088</v>
      </c>
      <c r="J79" s="63">
        <f t="shared" si="1"/>
        <v>71237.865267695277</v>
      </c>
      <c r="K79" s="68">
        <f t="shared" si="2"/>
        <v>-1139805.8442831216</v>
      </c>
      <c r="L79" s="63">
        <f t="shared" si="16"/>
        <v>-1567233.035889294</v>
      </c>
      <c r="M79" s="63">
        <f t="shared" si="12"/>
        <v>5895781.4207264148</v>
      </c>
      <c r="N79" s="64">
        <f t="shared" si="10"/>
        <v>4287841.0332555762</v>
      </c>
    </row>
    <row r="80" spans="1:14" x14ac:dyDescent="0.2">
      <c r="A80" s="61">
        <v>46234</v>
      </c>
      <c r="B80" s="30" t="s">
        <v>146</v>
      </c>
      <c r="D80" s="63">
        <f t="shared" si="3"/>
        <v>16282940.632616065</v>
      </c>
      <c r="E80" s="63">
        <f t="shared" si="17"/>
        <v>16282940.632616071</v>
      </c>
      <c r="F80" s="122">
        <f t="shared" si="18"/>
        <v>339227.92984616803</v>
      </c>
      <c r="G80" s="63">
        <f t="shared" si="13"/>
        <v>-11194521.684923535</v>
      </c>
      <c r="H80" s="63">
        <f t="shared" si="14"/>
        <v>-9159154.105846528</v>
      </c>
      <c r="I80" s="63">
        <f t="shared" si="15"/>
        <v>7123786.5267695431</v>
      </c>
      <c r="J80" s="63">
        <f t="shared" si="1"/>
        <v>71237.865267695277</v>
      </c>
      <c r="K80" s="68">
        <f t="shared" si="2"/>
        <v>-1068567.9790154262</v>
      </c>
      <c r="L80" s="63">
        <f t="shared" si="16"/>
        <v>-1495995.1706215988</v>
      </c>
      <c r="M80" s="63">
        <f t="shared" si="12"/>
        <v>5627791.356147944</v>
      </c>
      <c r="N80" s="64">
        <f t="shared" si="10"/>
        <v>4019850.968677104</v>
      </c>
    </row>
    <row r="81" spans="1:14" x14ac:dyDescent="0.2">
      <c r="A81" s="61">
        <v>46265</v>
      </c>
      <c r="B81" s="30" t="s">
        <v>146</v>
      </c>
      <c r="D81" s="63">
        <f t="shared" si="3"/>
        <v>16282940.632616065</v>
      </c>
      <c r="E81" s="63">
        <f t="shared" si="17"/>
        <v>16282940.632616071</v>
      </c>
      <c r="F81" s="122">
        <f t="shared" si="18"/>
        <v>339227.92984616803</v>
      </c>
      <c r="G81" s="63">
        <f t="shared" si="13"/>
        <v>-11533749.614769703</v>
      </c>
      <c r="H81" s="63">
        <f t="shared" si="14"/>
        <v>-9498382.0356926955</v>
      </c>
      <c r="I81" s="63">
        <f t="shared" si="15"/>
        <v>6784558.5969233755</v>
      </c>
      <c r="J81" s="63">
        <f t="shared" si="1"/>
        <v>71237.865267695277</v>
      </c>
      <c r="K81" s="68">
        <f t="shared" si="2"/>
        <v>-997330.11374773097</v>
      </c>
      <c r="L81" s="63">
        <f t="shared" si="16"/>
        <v>-1424757.3053539032</v>
      </c>
      <c r="M81" s="63">
        <f t="shared" si="12"/>
        <v>5359801.2915694723</v>
      </c>
      <c r="N81" s="64">
        <f t="shared" si="10"/>
        <v>3751860.9040986318</v>
      </c>
    </row>
    <row r="82" spans="1:14" x14ac:dyDescent="0.2">
      <c r="A82" s="61">
        <v>46295</v>
      </c>
      <c r="B82" s="30" t="s">
        <v>146</v>
      </c>
      <c r="D82" s="63">
        <f t="shared" si="3"/>
        <v>16282940.632616065</v>
      </c>
      <c r="E82" s="63">
        <f t="shared" si="17"/>
        <v>16282940.632616071</v>
      </c>
      <c r="F82" s="122">
        <f t="shared" si="18"/>
        <v>339227.92984616803</v>
      </c>
      <c r="G82" s="63">
        <f t="shared" si="13"/>
        <v>-11872977.54461587</v>
      </c>
      <c r="H82" s="63">
        <f t="shared" si="14"/>
        <v>-9837609.9655388631</v>
      </c>
      <c r="I82" s="63">
        <f t="shared" si="15"/>
        <v>6445330.6670772079</v>
      </c>
      <c r="J82" s="63">
        <f t="shared" si="1"/>
        <v>71237.865267695277</v>
      </c>
      <c r="K82" s="68">
        <f t="shared" si="2"/>
        <v>-926092.24848003569</v>
      </c>
      <c r="L82" s="63">
        <f t="shared" si="16"/>
        <v>-1353519.4400862078</v>
      </c>
      <c r="M82" s="63">
        <f t="shared" si="12"/>
        <v>5091811.2269909997</v>
      </c>
      <c r="N82" s="64">
        <f t="shared" si="10"/>
        <v>3483870.8395201592</v>
      </c>
    </row>
    <row r="83" spans="1:14" ht="13.5" thickBot="1" x14ac:dyDescent="0.25">
      <c r="A83" s="61">
        <v>46326</v>
      </c>
      <c r="B83" s="30" t="s">
        <v>146</v>
      </c>
      <c r="D83" s="63">
        <f t="shared" si="3"/>
        <v>16282940.632616065</v>
      </c>
      <c r="E83" s="63">
        <f t="shared" si="17"/>
        <v>16282940.632616071</v>
      </c>
      <c r="F83" s="122">
        <f t="shared" si="18"/>
        <v>339227.92984616803</v>
      </c>
      <c r="G83" s="63">
        <f t="shared" si="13"/>
        <v>-12212205.474462038</v>
      </c>
      <c r="H83" s="63">
        <f t="shared" si="14"/>
        <v>-10176837.895385031</v>
      </c>
      <c r="I83" s="63">
        <f t="shared" si="15"/>
        <v>6106102.7372310404</v>
      </c>
      <c r="J83" s="63">
        <f t="shared" si="1"/>
        <v>71237.865267695277</v>
      </c>
      <c r="K83" s="68">
        <f t="shared" si="2"/>
        <v>-854854.38321234041</v>
      </c>
      <c r="L83" s="63">
        <f t="shared" si="16"/>
        <v>-1282281.5748185122</v>
      </c>
      <c r="M83" s="63">
        <f t="shared" si="12"/>
        <v>4823821.1624125279</v>
      </c>
      <c r="N83" s="64">
        <f t="shared" si="10"/>
        <v>3215880.774941687</v>
      </c>
    </row>
    <row r="84" spans="1:14" x14ac:dyDescent="0.2">
      <c r="A84" s="134">
        <v>46356</v>
      </c>
      <c r="B84" s="141" t="s">
        <v>147</v>
      </c>
      <c r="C84" s="141"/>
      <c r="D84" s="136">
        <f t="shared" si="3"/>
        <v>16282940.632616065</v>
      </c>
      <c r="E84" s="136">
        <f t="shared" si="17"/>
        <v>16282940.632616071</v>
      </c>
      <c r="F84" s="148">
        <f t="shared" si="18"/>
        <v>339227.92984616803</v>
      </c>
      <c r="G84" s="136">
        <f t="shared" si="13"/>
        <v>-12551433.404308205</v>
      </c>
      <c r="H84" s="136">
        <f t="shared" si="14"/>
        <v>-10516065.825231198</v>
      </c>
      <c r="I84" s="136">
        <f t="shared" si="15"/>
        <v>5766874.8073848728</v>
      </c>
      <c r="J84" s="136">
        <f t="shared" si="1"/>
        <v>71237.865267695277</v>
      </c>
      <c r="K84" s="138">
        <f t="shared" si="2"/>
        <v>-783616.51794464514</v>
      </c>
      <c r="L84" s="136">
        <f t="shared" si="16"/>
        <v>-1211043.709550817</v>
      </c>
      <c r="M84" s="136">
        <f t="shared" si="12"/>
        <v>4555831.0978340562</v>
      </c>
      <c r="N84" s="140">
        <f t="shared" si="10"/>
        <v>2947890.7103632148</v>
      </c>
    </row>
    <row r="85" spans="1:14" x14ac:dyDescent="0.2">
      <c r="A85" s="61">
        <v>46387</v>
      </c>
      <c r="B85" s="66" t="s">
        <v>147</v>
      </c>
      <c r="D85" s="63">
        <f t="shared" si="3"/>
        <v>16282940.632616065</v>
      </c>
      <c r="E85" s="63">
        <f t="shared" si="17"/>
        <v>16282940.632616071</v>
      </c>
      <c r="F85" s="122">
        <f t="shared" si="18"/>
        <v>339227.92984616803</v>
      </c>
      <c r="G85" s="63">
        <f t="shared" si="13"/>
        <v>-12890661.334154373</v>
      </c>
      <c r="H85" s="63">
        <f t="shared" si="14"/>
        <v>-10855293.755077366</v>
      </c>
      <c r="I85" s="63">
        <f t="shared" si="15"/>
        <v>5427646.8775387052</v>
      </c>
      <c r="J85" s="63">
        <f t="shared" si="1"/>
        <v>71237.865267695277</v>
      </c>
      <c r="K85" s="68">
        <f t="shared" si="2"/>
        <v>-712378.65267694986</v>
      </c>
      <c r="L85" s="63">
        <f t="shared" si="16"/>
        <v>-1139805.8442831219</v>
      </c>
      <c r="M85" s="63">
        <f t="shared" si="12"/>
        <v>4287841.0332555836</v>
      </c>
      <c r="N85" s="64">
        <f t="shared" si="10"/>
        <v>2679900.6457847427</v>
      </c>
    </row>
    <row r="86" spans="1:14" x14ac:dyDescent="0.2">
      <c r="A86" s="61">
        <v>46418</v>
      </c>
      <c r="B86" s="66" t="s">
        <v>147</v>
      </c>
      <c r="D86" s="63">
        <f t="shared" si="3"/>
        <v>16282940.632616065</v>
      </c>
      <c r="E86" s="63">
        <f t="shared" si="17"/>
        <v>16282940.632616071</v>
      </c>
      <c r="F86" s="122">
        <f t="shared" si="18"/>
        <v>339227.92984616803</v>
      </c>
      <c r="G86" s="63">
        <f t="shared" si="13"/>
        <v>-13229889.264000541</v>
      </c>
      <c r="H86" s="63">
        <f t="shared" si="14"/>
        <v>-11194521.684923535</v>
      </c>
      <c r="I86" s="63">
        <f t="shared" si="15"/>
        <v>5088418.9476925358</v>
      </c>
      <c r="J86" s="63">
        <f t="shared" si="1"/>
        <v>71237.865267695277</v>
      </c>
      <c r="K86" s="68">
        <f t="shared" si="2"/>
        <v>-641140.78740925458</v>
      </c>
      <c r="L86" s="63">
        <f t="shared" si="16"/>
        <v>-1068567.9790154265</v>
      </c>
      <c r="M86" s="63">
        <f t="shared" si="12"/>
        <v>4019850.9686771091</v>
      </c>
      <c r="N86" s="64">
        <f t="shared" si="10"/>
        <v>2411910.5812062705</v>
      </c>
    </row>
    <row r="87" spans="1:14" x14ac:dyDescent="0.2">
      <c r="A87" s="61">
        <v>46446</v>
      </c>
      <c r="B87" s="66" t="s">
        <v>147</v>
      </c>
      <c r="D87" s="63">
        <f t="shared" si="3"/>
        <v>16282940.632616065</v>
      </c>
      <c r="E87" s="63">
        <f t="shared" si="17"/>
        <v>16282940.632616071</v>
      </c>
      <c r="F87" s="122">
        <f t="shared" si="18"/>
        <v>339227.92984616803</v>
      </c>
      <c r="G87" s="63">
        <f t="shared" si="13"/>
        <v>-13569117.193846708</v>
      </c>
      <c r="H87" s="63">
        <f t="shared" si="14"/>
        <v>-11533749.614769703</v>
      </c>
      <c r="I87" s="63">
        <f t="shared" si="15"/>
        <v>4749191.0178463683</v>
      </c>
      <c r="J87" s="63">
        <f t="shared" si="1"/>
        <v>71237.865267695277</v>
      </c>
      <c r="K87" s="68">
        <f t="shared" si="2"/>
        <v>-569902.92214155931</v>
      </c>
      <c r="L87" s="63">
        <f t="shared" si="16"/>
        <v>-997330.11374773097</v>
      </c>
      <c r="M87" s="63">
        <f t="shared" si="12"/>
        <v>3751860.9040986374</v>
      </c>
      <c r="N87" s="64">
        <f t="shared" si="10"/>
        <v>2143920.5166277979</v>
      </c>
    </row>
    <row r="88" spans="1:14" x14ac:dyDescent="0.2">
      <c r="A88" s="61">
        <v>46477</v>
      </c>
      <c r="B88" s="66" t="s">
        <v>147</v>
      </c>
      <c r="D88" s="63">
        <f t="shared" si="3"/>
        <v>16282940.632616065</v>
      </c>
      <c r="E88" s="63">
        <f t="shared" si="17"/>
        <v>16282940.632616071</v>
      </c>
      <c r="F88" s="122">
        <f t="shared" si="18"/>
        <v>339227.92984616803</v>
      </c>
      <c r="G88" s="63">
        <f t="shared" si="13"/>
        <v>-13908345.123692876</v>
      </c>
      <c r="H88" s="63">
        <f t="shared" si="14"/>
        <v>-11872977.54461587</v>
      </c>
      <c r="I88" s="63">
        <f t="shared" si="15"/>
        <v>4409963.0880002007</v>
      </c>
      <c r="J88" s="63">
        <f t="shared" ref="J88:J96" si="19">(-C88*0.21)+(F88*0.21)</f>
        <v>71237.865267695277</v>
      </c>
      <c r="K88" s="68">
        <f t="shared" ref="K88:K96" si="20">K87+J88</f>
        <v>-498665.05687386403</v>
      </c>
      <c r="L88" s="63">
        <f t="shared" si="16"/>
        <v>-926092.24848003592</v>
      </c>
      <c r="M88" s="63">
        <f t="shared" si="12"/>
        <v>3483870.8395201648</v>
      </c>
      <c r="N88" s="64">
        <f t="shared" si="10"/>
        <v>1875930.4520493257</v>
      </c>
    </row>
    <row r="89" spans="1:14" x14ac:dyDescent="0.2">
      <c r="A89" s="61">
        <v>46507</v>
      </c>
      <c r="B89" s="66" t="s">
        <v>147</v>
      </c>
      <c r="D89" s="63">
        <f t="shared" ref="D89:D96" si="21">D88+C89</f>
        <v>16282940.632616065</v>
      </c>
      <c r="E89" s="63">
        <f t="shared" si="17"/>
        <v>16282940.632616071</v>
      </c>
      <c r="F89" s="122">
        <f t="shared" si="18"/>
        <v>339227.92984616803</v>
      </c>
      <c r="G89" s="63">
        <f t="shared" si="13"/>
        <v>-14247573.053539043</v>
      </c>
      <c r="H89" s="63">
        <f t="shared" si="14"/>
        <v>-12212205.474462034</v>
      </c>
      <c r="I89" s="63">
        <f t="shared" si="15"/>
        <v>4070735.1581540368</v>
      </c>
      <c r="J89" s="63">
        <f t="shared" si="19"/>
        <v>71237.865267695277</v>
      </c>
      <c r="K89" s="68">
        <f t="shared" si="20"/>
        <v>-427427.19160616875</v>
      </c>
      <c r="L89" s="63">
        <f t="shared" si="16"/>
        <v>-854854.38321234041</v>
      </c>
      <c r="M89" s="63">
        <f t="shared" si="12"/>
        <v>3215880.7749416963</v>
      </c>
      <c r="N89" s="64">
        <f t="shared" si="10"/>
        <v>1607940.3874708535</v>
      </c>
    </row>
    <row r="90" spans="1:14" x14ac:dyDescent="0.2">
      <c r="A90" s="61">
        <v>46538</v>
      </c>
      <c r="B90" s="66" t="s">
        <v>147</v>
      </c>
      <c r="D90" s="63">
        <f t="shared" si="21"/>
        <v>16282940.632616065</v>
      </c>
      <c r="E90" s="63">
        <f t="shared" si="17"/>
        <v>16282940.632616071</v>
      </c>
      <c r="F90" s="122">
        <f t="shared" si="18"/>
        <v>339227.92984616803</v>
      </c>
      <c r="G90" s="63">
        <f t="shared" si="13"/>
        <v>-14586800.983385211</v>
      </c>
      <c r="H90" s="63">
        <f t="shared" si="14"/>
        <v>-12551433.404308202</v>
      </c>
      <c r="I90" s="63">
        <f t="shared" si="15"/>
        <v>3731507.2283078693</v>
      </c>
      <c r="J90" s="63">
        <f t="shared" si="19"/>
        <v>71237.865267695277</v>
      </c>
      <c r="K90" s="68">
        <f t="shared" si="20"/>
        <v>-356189.32633847347</v>
      </c>
      <c r="L90" s="63">
        <f t="shared" si="16"/>
        <v>-783616.51794464514</v>
      </c>
      <c r="M90" s="63">
        <f t="shared" si="12"/>
        <v>2947890.7103632241</v>
      </c>
      <c r="N90" s="64">
        <f t="shared" si="10"/>
        <v>1339950.3228923811</v>
      </c>
    </row>
    <row r="91" spans="1:14" x14ac:dyDescent="0.2">
      <c r="A91" s="61">
        <v>46568</v>
      </c>
      <c r="B91" s="66" t="s">
        <v>147</v>
      </c>
      <c r="D91" s="63">
        <f t="shared" si="21"/>
        <v>16282940.632616065</v>
      </c>
      <c r="E91" s="63">
        <f t="shared" si="17"/>
        <v>16282940.632616071</v>
      </c>
      <c r="F91" s="122">
        <f t="shared" si="18"/>
        <v>339227.92984616803</v>
      </c>
      <c r="G91" s="63">
        <f t="shared" si="13"/>
        <v>-14926028.913231378</v>
      </c>
      <c r="H91" s="63">
        <f t="shared" si="14"/>
        <v>-12890661.334154369</v>
      </c>
      <c r="I91" s="63">
        <f t="shared" si="15"/>
        <v>3392279.2984617017</v>
      </c>
      <c r="J91" s="63">
        <f t="shared" si="19"/>
        <v>71237.865267695277</v>
      </c>
      <c r="K91" s="68">
        <f t="shared" si="20"/>
        <v>-284951.4610707782</v>
      </c>
      <c r="L91" s="63">
        <f t="shared" si="16"/>
        <v>-712378.65267694986</v>
      </c>
      <c r="M91" s="63">
        <f t="shared" si="12"/>
        <v>2679900.645784752</v>
      </c>
      <c r="N91" s="64">
        <f t="shared" si="10"/>
        <v>1071960.2583139087</v>
      </c>
    </row>
    <row r="92" spans="1:14" x14ac:dyDescent="0.2">
      <c r="A92" s="61">
        <v>46599</v>
      </c>
      <c r="B92" s="66" t="s">
        <v>147</v>
      </c>
      <c r="D92" s="63">
        <f t="shared" si="21"/>
        <v>16282940.632616065</v>
      </c>
      <c r="E92" s="63">
        <f t="shared" si="17"/>
        <v>16282940.632616071</v>
      </c>
      <c r="F92" s="122">
        <f t="shared" si="18"/>
        <v>339227.92984616803</v>
      </c>
      <c r="G92" s="63">
        <f t="shared" si="13"/>
        <v>-15265256.843077546</v>
      </c>
      <c r="H92" s="63">
        <f t="shared" si="14"/>
        <v>-13229889.264000537</v>
      </c>
      <c r="I92" s="63">
        <f t="shared" si="15"/>
        <v>3053051.3686155342</v>
      </c>
      <c r="J92" s="63">
        <f t="shared" si="19"/>
        <v>71237.865267695277</v>
      </c>
      <c r="K92" s="68">
        <f t="shared" si="20"/>
        <v>-213713.59580308292</v>
      </c>
      <c r="L92" s="63">
        <f t="shared" si="16"/>
        <v>-641140.78740925447</v>
      </c>
      <c r="M92" s="63">
        <f t="shared" si="12"/>
        <v>2411910.5812062798</v>
      </c>
      <c r="N92" s="64">
        <f t="shared" si="10"/>
        <v>803970.19373543654</v>
      </c>
    </row>
    <row r="93" spans="1:14" x14ac:dyDescent="0.2">
      <c r="A93" s="61">
        <v>46630</v>
      </c>
      <c r="B93" s="66" t="s">
        <v>147</v>
      </c>
      <c r="D93" s="63">
        <f t="shared" si="21"/>
        <v>16282940.632616065</v>
      </c>
      <c r="E93" s="63">
        <f t="shared" si="17"/>
        <v>16282940.632616071</v>
      </c>
      <c r="F93" s="122">
        <f t="shared" si="18"/>
        <v>339227.92984616803</v>
      </c>
      <c r="G93" s="63">
        <f t="shared" si="13"/>
        <v>-15604484.772923714</v>
      </c>
      <c r="H93" s="63">
        <f t="shared" si="14"/>
        <v>-13569117.193846704</v>
      </c>
      <c r="I93" s="63">
        <f t="shared" si="15"/>
        <v>2713823.4387693666</v>
      </c>
      <c r="J93" s="63">
        <f t="shared" si="19"/>
        <v>71237.865267695277</v>
      </c>
      <c r="K93" s="68">
        <f t="shared" si="20"/>
        <v>-142475.73053538764</v>
      </c>
      <c r="L93" s="63">
        <f t="shared" si="16"/>
        <v>-569902.92214155931</v>
      </c>
      <c r="M93" s="63">
        <f t="shared" si="12"/>
        <v>2143920.5166278072</v>
      </c>
      <c r="N93" s="64">
        <f t="shared" si="10"/>
        <v>535980.12915696425</v>
      </c>
    </row>
    <row r="94" spans="1:14" x14ac:dyDescent="0.2">
      <c r="A94" s="61">
        <v>46660</v>
      </c>
      <c r="B94" s="66" t="s">
        <v>147</v>
      </c>
      <c r="D94" s="63">
        <f t="shared" si="21"/>
        <v>16282940.632616065</v>
      </c>
      <c r="E94" s="63">
        <f t="shared" si="17"/>
        <v>16282940.632616071</v>
      </c>
      <c r="F94" s="122">
        <f t="shared" si="18"/>
        <v>339227.92984616803</v>
      </c>
      <c r="G94" s="63">
        <f t="shared" si="13"/>
        <v>-15943712.702769881</v>
      </c>
      <c r="H94" s="63">
        <f t="shared" si="14"/>
        <v>-13908345.123692872</v>
      </c>
      <c r="I94" s="63">
        <f t="shared" si="15"/>
        <v>2374595.508923199</v>
      </c>
      <c r="J94" s="63">
        <f t="shared" si="19"/>
        <v>71237.865267695277</v>
      </c>
      <c r="K94" s="68">
        <f t="shared" si="20"/>
        <v>-71237.865267692367</v>
      </c>
      <c r="L94" s="63">
        <f t="shared" si="16"/>
        <v>-498665.05687386403</v>
      </c>
      <c r="M94" s="63">
        <f t="shared" si="12"/>
        <v>1875930.452049335</v>
      </c>
      <c r="N94" s="64">
        <f t="shared" si="10"/>
        <v>267990.06457849196</v>
      </c>
    </row>
    <row r="95" spans="1:14" ht="13.5" thickBot="1" x14ac:dyDescent="0.25">
      <c r="A95" s="61">
        <v>46691</v>
      </c>
      <c r="B95" s="66" t="s">
        <v>147</v>
      </c>
      <c r="D95" s="63">
        <f t="shared" si="21"/>
        <v>16282940.632616065</v>
      </c>
      <c r="E95" s="63">
        <f t="shared" si="17"/>
        <v>16282940.632616071</v>
      </c>
      <c r="F95" s="122">
        <f t="shared" si="18"/>
        <v>339227.92984616803</v>
      </c>
      <c r="G95" s="63">
        <f t="shared" si="13"/>
        <v>-16282940.632616049</v>
      </c>
      <c r="H95" s="63">
        <f t="shared" si="14"/>
        <v>-14247573.05353904</v>
      </c>
      <c r="I95" s="63">
        <f t="shared" si="15"/>
        <v>2035367.5790770315</v>
      </c>
      <c r="J95" s="63">
        <f t="shared" si="19"/>
        <v>71237.865267695277</v>
      </c>
      <c r="K95" s="68">
        <f t="shared" si="20"/>
        <v>2.9103830456733704E-9</v>
      </c>
      <c r="L95" s="63">
        <f t="shared" si="16"/>
        <v>-427427.19160616869</v>
      </c>
      <c r="M95" s="63">
        <f t="shared" si="12"/>
        <v>1607940.3874708628</v>
      </c>
      <c r="N95" s="64">
        <f t="shared" si="10"/>
        <v>1.9674189388751984E-8</v>
      </c>
    </row>
    <row r="96" spans="1:14" x14ac:dyDescent="0.2">
      <c r="A96" s="134">
        <v>46721</v>
      </c>
      <c r="B96" s="141" t="s">
        <v>148</v>
      </c>
      <c r="C96" s="141"/>
      <c r="D96" s="136">
        <f t="shared" si="21"/>
        <v>16282940.632616065</v>
      </c>
      <c r="E96" s="136">
        <f t="shared" si="17"/>
        <v>16282940.632616071</v>
      </c>
      <c r="F96" s="169"/>
      <c r="G96" s="136">
        <f t="shared" si="13"/>
        <v>-16282940.632616049</v>
      </c>
      <c r="H96" s="136">
        <f t="shared" si="14"/>
        <v>-14572666.486308284</v>
      </c>
      <c r="I96" s="136">
        <f t="shared" si="15"/>
        <v>1710274.1463077869</v>
      </c>
      <c r="J96" s="136">
        <f t="shared" si="19"/>
        <v>0</v>
      </c>
      <c r="K96" s="138">
        <f t="shared" si="20"/>
        <v>2.9103830456733704E-9</v>
      </c>
      <c r="L96" s="136">
        <f t="shared" si="16"/>
        <v>-359157.57072462741</v>
      </c>
      <c r="M96" s="136">
        <f t="shared" si="12"/>
        <v>1351116.5755831595</v>
      </c>
      <c r="N96" s="140">
        <f t="shared" si="10"/>
        <v>1.9674189388751984E-8</v>
      </c>
    </row>
    <row r="97" spans="1:14" x14ac:dyDescent="0.2">
      <c r="A97" s="61">
        <v>46752</v>
      </c>
      <c r="B97" s="66" t="s">
        <v>148</v>
      </c>
      <c r="D97" s="63">
        <f t="shared" ref="D97:D106" si="22">D96+C97</f>
        <v>16282940.632616065</v>
      </c>
      <c r="E97" s="63">
        <f t="shared" ref="E97:E106" si="23">(D85+D97+SUM(D86:D96)*2)/24</f>
        <v>16282940.632616071</v>
      </c>
      <c r="F97" s="67"/>
      <c r="G97" s="63">
        <f t="shared" ref="G97:G106" si="24">G96-F97</f>
        <v>-16282940.632616049</v>
      </c>
      <c r="H97" s="63">
        <f t="shared" ref="H97:H106" si="25">(G85+G97+SUM(G86:G96)*2)/24</f>
        <v>-14869490.924923681</v>
      </c>
      <c r="I97" s="63">
        <f t="shared" ref="I97:I106" si="26">E97+H97</f>
        <v>1413449.7076923903</v>
      </c>
      <c r="J97" s="63">
        <f t="shared" ref="J97:J106" si="27">(-C97*0.21)+(F97*0.21)</f>
        <v>0</v>
      </c>
      <c r="K97" s="68">
        <f t="shared" ref="K97:K106" si="28">K96+J97</f>
        <v>2.9103830456733704E-9</v>
      </c>
      <c r="L97" s="63">
        <f t="shared" ref="L97:L106" si="29">(K85+K97+SUM(K86:K96)*2)/24</f>
        <v>-296824.43861539406</v>
      </c>
      <c r="M97" s="63">
        <f t="shared" ref="M97:M106" si="30">L97+I97</f>
        <v>1116625.2690769963</v>
      </c>
      <c r="N97" s="64">
        <f t="shared" ref="N97:N106" si="31">+D97+G97+K97</f>
        <v>1.9674189388751984E-8</v>
      </c>
    </row>
    <row r="98" spans="1:14" x14ac:dyDescent="0.2">
      <c r="A98" s="61">
        <v>46783</v>
      </c>
      <c r="B98" s="66" t="s">
        <v>148</v>
      </c>
      <c r="D98" s="63">
        <f t="shared" si="22"/>
        <v>16282940.632616065</v>
      </c>
      <c r="E98" s="63">
        <f t="shared" si="23"/>
        <v>16282940.632616071</v>
      </c>
      <c r="F98" s="67"/>
      <c r="G98" s="63">
        <f t="shared" si="24"/>
        <v>-16282940.632616049</v>
      </c>
      <c r="H98" s="63">
        <f t="shared" si="25"/>
        <v>-15138046.369385229</v>
      </c>
      <c r="I98" s="63">
        <f t="shared" si="26"/>
        <v>1144894.2632308416</v>
      </c>
      <c r="J98" s="63">
        <f t="shared" si="27"/>
        <v>0</v>
      </c>
      <c r="K98" s="68">
        <f t="shared" si="28"/>
        <v>2.9103830456733704E-9</v>
      </c>
      <c r="L98" s="63">
        <f t="shared" si="29"/>
        <v>-240427.79527846863</v>
      </c>
      <c r="M98" s="63">
        <f t="shared" si="30"/>
        <v>904466.46795237297</v>
      </c>
      <c r="N98" s="64">
        <f t="shared" si="31"/>
        <v>1.9674189388751984E-8</v>
      </c>
    </row>
    <row r="99" spans="1:14" x14ac:dyDescent="0.2">
      <c r="A99" s="61">
        <v>46812</v>
      </c>
      <c r="B99" s="66" t="s">
        <v>148</v>
      </c>
      <c r="D99" s="63">
        <f t="shared" si="22"/>
        <v>16282940.632616065</v>
      </c>
      <c r="E99" s="63">
        <f t="shared" si="23"/>
        <v>16282940.632616071</v>
      </c>
      <c r="F99" s="67"/>
      <c r="G99" s="63">
        <f t="shared" si="24"/>
        <v>-16282940.632616049</v>
      </c>
      <c r="H99" s="63">
        <f t="shared" si="25"/>
        <v>-15378332.819692932</v>
      </c>
      <c r="I99" s="63">
        <f t="shared" si="26"/>
        <v>904607.81292313896</v>
      </c>
      <c r="J99" s="63">
        <f t="shared" si="27"/>
        <v>0</v>
      </c>
      <c r="K99" s="68">
        <f t="shared" si="28"/>
        <v>2.9103830456733704E-9</v>
      </c>
      <c r="L99" s="63">
        <f t="shared" si="29"/>
        <v>-189967.6407138512</v>
      </c>
      <c r="M99" s="63">
        <f t="shared" si="30"/>
        <v>714640.17220928776</v>
      </c>
      <c r="N99" s="64">
        <f t="shared" si="31"/>
        <v>1.9674189388751984E-8</v>
      </c>
    </row>
    <row r="100" spans="1:14" x14ac:dyDescent="0.2">
      <c r="A100" s="61">
        <v>46843</v>
      </c>
      <c r="B100" s="66" t="s">
        <v>148</v>
      </c>
      <c r="D100" s="63">
        <f t="shared" si="22"/>
        <v>16282940.632616065</v>
      </c>
      <c r="E100" s="63">
        <f t="shared" si="23"/>
        <v>16282940.632616071</v>
      </c>
      <c r="F100" s="67"/>
      <c r="G100" s="63">
        <f t="shared" si="24"/>
        <v>-16282940.632616049</v>
      </c>
      <c r="H100" s="63">
        <f t="shared" si="25"/>
        <v>-15590350.275846787</v>
      </c>
      <c r="I100" s="63">
        <f t="shared" si="26"/>
        <v>692590.35676928423</v>
      </c>
      <c r="J100" s="63">
        <f t="shared" si="27"/>
        <v>0</v>
      </c>
      <c r="K100" s="68">
        <f t="shared" si="28"/>
        <v>2.9103830456733704E-9</v>
      </c>
      <c r="L100" s="63">
        <f t="shared" si="29"/>
        <v>-145443.97492154167</v>
      </c>
      <c r="M100" s="63">
        <f t="shared" si="30"/>
        <v>547146.3818477426</v>
      </c>
      <c r="N100" s="64">
        <f t="shared" si="31"/>
        <v>1.9674189388751984E-8</v>
      </c>
    </row>
    <row r="101" spans="1:14" x14ac:dyDescent="0.2">
      <c r="A101" s="61">
        <v>46873</v>
      </c>
      <c r="B101" s="66" t="s">
        <v>148</v>
      </c>
      <c r="D101" s="63">
        <f t="shared" si="22"/>
        <v>16282940.632616065</v>
      </c>
      <c r="E101" s="63">
        <f t="shared" si="23"/>
        <v>16282940.632616071</v>
      </c>
      <c r="F101" s="67"/>
      <c r="G101" s="63">
        <f t="shared" si="24"/>
        <v>-16282940.632616049</v>
      </c>
      <c r="H101" s="63">
        <f t="shared" si="25"/>
        <v>-15774098.737846794</v>
      </c>
      <c r="I101" s="63">
        <f t="shared" si="26"/>
        <v>508841.89476927742</v>
      </c>
      <c r="J101" s="63">
        <f t="shared" si="27"/>
        <v>0</v>
      </c>
      <c r="K101" s="68">
        <f t="shared" si="28"/>
        <v>2.9103830456733704E-9</v>
      </c>
      <c r="L101" s="63">
        <f t="shared" si="29"/>
        <v>-106856.79790154006</v>
      </c>
      <c r="M101" s="63">
        <f t="shared" si="30"/>
        <v>401985.09686773736</v>
      </c>
      <c r="N101" s="64">
        <f t="shared" si="31"/>
        <v>1.9674189388751984E-8</v>
      </c>
    </row>
    <row r="102" spans="1:14" x14ac:dyDescent="0.2">
      <c r="A102" s="61">
        <v>46904</v>
      </c>
      <c r="B102" s="66" t="s">
        <v>148</v>
      </c>
      <c r="D102" s="63">
        <f t="shared" si="22"/>
        <v>16282940.632616065</v>
      </c>
      <c r="E102" s="63">
        <f t="shared" si="23"/>
        <v>16282940.632616071</v>
      </c>
      <c r="F102" s="67"/>
      <c r="G102" s="63">
        <f t="shared" si="24"/>
        <v>-16282940.632616049</v>
      </c>
      <c r="H102" s="63">
        <f t="shared" si="25"/>
        <v>-15929578.205692954</v>
      </c>
      <c r="I102" s="63">
        <f t="shared" si="26"/>
        <v>353362.42692311667</v>
      </c>
      <c r="J102" s="63">
        <f t="shared" si="27"/>
        <v>0</v>
      </c>
      <c r="K102" s="68">
        <f t="shared" si="28"/>
        <v>2.9103830456733704E-9</v>
      </c>
      <c r="L102" s="63">
        <f t="shared" si="29"/>
        <v>-74206.109653846346</v>
      </c>
      <c r="M102" s="63">
        <f t="shared" si="30"/>
        <v>279156.31726927031</v>
      </c>
      <c r="N102" s="64">
        <f t="shared" si="31"/>
        <v>1.9674189388751984E-8</v>
      </c>
    </row>
    <row r="103" spans="1:14" x14ac:dyDescent="0.2">
      <c r="A103" s="61">
        <v>46934</v>
      </c>
      <c r="B103" s="66" t="s">
        <v>148</v>
      </c>
      <c r="D103" s="63">
        <f t="shared" si="22"/>
        <v>16282940.632616065</v>
      </c>
      <c r="E103" s="63">
        <f t="shared" si="23"/>
        <v>16282940.632616071</v>
      </c>
      <c r="F103" s="67"/>
      <c r="G103" s="63">
        <f t="shared" si="24"/>
        <v>-16282940.632616049</v>
      </c>
      <c r="H103" s="63">
        <f t="shared" si="25"/>
        <v>-16056788.679385267</v>
      </c>
      <c r="I103" s="63">
        <f t="shared" si="26"/>
        <v>226151.95323080383</v>
      </c>
      <c r="J103" s="63">
        <f t="shared" si="27"/>
        <v>0</v>
      </c>
      <c r="K103" s="68">
        <f t="shared" si="28"/>
        <v>2.9103830456733704E-9</v>
      </c>
      <c r="L103" s="63">
        <f t="shared" si="29"/>
        <v>-47491.91017846061</v>
      </c>
      <c r="M103" s="63">
        <f t="shared" si="30"/>
        <v>178660.04305234322</v>
      </c>
      <c r="N103" s="64">
        <f t="shared" si="31"/>
        <v>1.9674189388751984E-8</v>
      </c>
    </row>
    <row r="104" spans="1:14" x14ac:dyDescent="0.2">
      <c r="A104" s="61">
        <v>46965</v>
      </c>
      <c r="B104" s="66" t="s">
        <v>148</v>
      </c>
      <c r="D104" s="63">
        <f t="shared" si="22"/>
        <v>16282940.632616065</v>
      </c>
      <c r="E104" s="63">
        <f t="shared" si="23"/>
        <v>16282940.632616071</v>
      </c>
      <c r="F104" s="67"/>
      <c r="G104" s="63">
        <f t="shared" si="24"/>
        <v>-16282940.632616049</v>
      </c>
      <c r="H104" s="63">
        <f t="shared" si="25"/>
        <v>-16155730.158923732</v>
      </c>
      <c r="I104" s="63">
        <f t="shared" si="26"/>
        <v>127210.47369233891</v>
      </c>
      <c r="J104" s="63">
        <f t="shared" si="27"/>
        <v>0</v>
      </c>
      <c r="K104" s="68">
        <f t="shared" si="28"/>
        <v>2.9103830456733704E-9</v>
      </c>
      <c r="L104" s="63">
        <f t="shared" si="29"/>
        <v>-26714.199475382818</v>
      </c>
      <c r="M104" s="63">
        <f t="shared" si="30"/>
        <v>100496.2742169561</v>
      </c>
      <c r="N104" s="64">
        <f t="shared" si="31"/>
        <v>1.9674189388751984E-8</v>
      </c>
    </row>
    <row r="105" spans="1:14" x14ac:dyDescent="0.2">
      <c r="A105" s="61">
        <v>46996</v>
      </c>
      <c r="B105" s="66" t="s">
        <v>148</v>
      </c>
      <c r="D105" s="63">
        <f t="shared" si="22"/>
        <v>16282940.632616065</v>
      </c>
      <c r="E105" s="63">
        <f t="shared" si="23"/>
        <v>16282940.632616071</v>
      </c>
      <c r="F105" s="67"/>
      <c r="G105" s="63">
        <f t="shared" si="24"/>
        <v>-16282940.632616049</v>
      </c>
      <c r="H105" s="63">
        <f t="shared" si="25"/>
        <v>-16226402.644308351</v>
      </c>
      <c r="I105" s="63">
        <f t="shared" si="26"/>
        <v>56537.98830772005</v>
      </c>
      <c r="J105" s="63">
        <f t="shared" si="27"/>
        <v>0</v>
      </c>
      <c r="K105" s="68">
        <f t="shared" si="28"/>
        <v>2.9103830456733704E-9</v>
      </c>
      <c r="L105" s="63">
        <f t="shared" si="29"/>
        <v>-11872.97754461297</v>
      </c>
      <c r="M105" s="63">
        <f t="shared" si="30"/>
        <v>44665.010763107079</v>
      </c>
      <c r="N105" s="64">
        <f t="shared" si="31"/>
        <v>1.9674189388751984E-8</v>
      </c>
    </row>
    <row r="106" spans="1:14" x14ac:dyDescent="0.2">
      <c r="A106" s="61">
        <v>47026</v>
      </c>
      <c r="B106" s="66" t="s">
        <v>148</v>
      </c>
      <c r="D106" s="63">
        <f t="shared" si="22"/>
        <v>16282940.632616065</v>
      </c>
      <c r="E106" s="63">
        <f t="shared" si="23"/>
        <v>16282940.632616071</v>
      </c>
      <c r="F106" s="67"/>
      <c r="G106" s="63">
        <f t="shared" si="24"/>
        <v>-16282940.632616049</v>
      </c>
      <c r="H106" s="63">
        <f t="shared" si="25"/>
        <v>-16268806.135539122</v>
      </c>
      <c r="I106" s="63">
        <f t="shared" si="26"/>
        <v>14134.497076949105</v>
      </c>
      <c r="J106" s="63">
        <f t="shared" si="27"/>
        <v>0</v>
      </c>
      <c r="K106" s="68">
        <f t="shared" si="28"/>
        <v>2.9103830456733704E-9</v>
      </c>
      <c r="L106" s="63">
        <f t="shared" si="29"/>
        <v>-2968.2443861510596</v>
      </c>
      <c r="M106" s="63">
        <f t="shared" si="30"/>
        <v>11166.252690798045</v>
      </c>
      <c r="N106" s="64">
        <f t="shared" si="31"/>
        <v>1.9674189388751984E-8</v>
      </c>
    </row>
    <row r="107" spans="1:14" x14ac:dyDescent="0.2">
      <c r="A107" s="70">
        <v>47057</v>
      </c>
      <c r="B107" s="71" t="s">
        <v>148</v>
      </c>
      <c r="C107" s="71"/>
      <c r="D107" s="72">
        <f t="shared" ref="D107" si="32">D106+C107</f>
        <v>16282940.632616065</v>
      </c>
      <c r="E107" s="72">
        <f t="shared" ref="E107" si="33">(D95+D107+SUM(D96:D106)*2)/24</f>
        <v>16282940.632616071</v>
      </c>
      <c r="F107" s="75"/>
      <c r="G107" s="72">
        <f t="shared" ref="G107" si="34">G106-F107</f>
        <v>-16282940.632616049</v>
      </c>
      <c r="H107" s="72">
        <f t="shared" ref="H107" si="35">(G95+G107+SUM(G96:G106)*2)/24</f>
        <v>-16282940.632616045</v>
      </c>
      <c r="I107" s="72">
        <f t="shared" ref="I107" si="36">E107+H107</f>
        <v>2.6077032089233398E-8</v>
      </c>
      <c r="J107" s="72">
        <f t="shared" ref="J107" si="37">(-C107*0.21)+(F107*0.21)</f>
        <v>0</v>
      </c>
      <c r="K107" s="73">
        <f t="shared" ref="K107" si="38">K106+J107</f>
        <v>2.9103830456733704E-9</v>
      </c>
      <c r="L107" s="72">
        <f t="shared" ref="L107" si="39">(K95+K107+SUM(K96:K106)*2)/24</f>
        <v>2.9103830456733704E-9</v>
      </c>
      <c r="M107" s="72">
        <f t="shared" ref="M107" si="40">L107+I107</f>
        <v>2.8987415134906769E-8</v>
      </c>
      <c r="N107" s="74">
        <f t="shared" ref="N107" si="41">+D107+G107+K107</f>
        <v>1.9674189388751984E-8</v>
      </c>
    </row>
    <row r="108" spans="1:14" x14ac:dyDescent="0.2">
      <c r="A108" s="150"/>
      <c r="B108" s="151"/>
      <c r="C108" s="151"/>
      <c r="D108" s="152"/>
      <c r="E108" s="152"/>
      <c r="F108" s="168"/>
      <c r="G108" s="152"/>
      <c r="H108" s="152"/>
      <c r="I108" s="152"/>
      <c r="J108" s="152"/>
      <c r="K108" s="154"/>
      <c r="L108" s="152"/>
      <c r="M108" s="152"/>
      <c r="N108" s="155"/>
    </row>
    <row r="109" spans="1:14" x14ac:dyDescent="0.2">
      <c r="A109" s="61"/>
      <c r="D109" s="63"/>
      <c r="E109" s="63"/>
      <c r="F109" s="67"/>
      <c r="G109" s="63"/>
      <c r="H109" s="63"/>
      <c r="I109" s="63"/>
      <c r="J109" s="63"/>
      <c r="K109" s="68"/>
      <c r="L109" s="63"/>
      <c r="M109" s="63"/>
      <c r="N109" s="149"/>
    </row>
    <row r="110" spans="1:14" x14ac:dyDescent="0.2">
      <c r="A110" s="66"/>
    </row>
    <row r="111" spans="1:14" x14ac:dyDescent="0.2">
      <c r="A111" s="30" t="s">
        <v>137</v>
      </c>
      <c r="F111" s="130">
        <f>SUM(F48:F59)</f>
        <v>4070735.1581540164</v>
      </c>
      <c r="G111" s="130">
        <v>8788337.428970933</v>
      </c>
      <c r="H111" s="130">
        <f>G111-F111</f>
        <v>4717602.2708169166</v>
      </c>
    </row>
  </sheetData>
  <printOptions horizontalCentered="1"/>
  <pageMargins left="0.2" right="0.2" top="0.5" bottom="0.5" header="0.3" footer="0.3"/>
  <pageSetup scale="69" firstPageNumber="8" fitToHeight="0" orientation="landscape" useFirstPageNumber="1" r:id="rId1"/>
  <headerFooter>
    <oddFooter>&amp;R&amp;"Times New Roman,Regular"Exh. SEF-3 page &amp;P of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6"/>
  <sheetViews>
    <sheetView workbookViewId="0">
      <selection activeCell="C35" sqref="C35"/>
    </sheetView>
  </sheetViews>
  <sheetFormatPr defaultRowHeight="15" x14ac:dyDescent="0.25"/>
  <sheetData>
    <row r="3" spans="2:5" x14ac:dyDescent="0.25">
      <c r="B3" s="1"/>
      <c r="C3" s="2" t="s">
        <v>19</v>
      </c>
      <c r="D3" s="2" t="s">
        <v>20</v>
      </c>
      <c r="E3" s="2" t="s">
        <v>21</v>
      </c>
    </row>
    <row r="4" spans="2:5" x14ac:dyDescent="0.25">
      <c r="B4" s="5" t="s">
        <v>22</v>
      </c>
      <c r="C4" s="6">
        <v>0.51</v>
      </c>
      <c r="D4" s="6">
        <v>0.05</v>
      </c>
      <c r="E4" s="7">
        <f>+C4*D4</f>
        <v>2.5500000000000002E-2</v>
      </c>
    </row>
    <row r="5" spans="2:5" x14ac:dyDescent="0.25">
      <c r="B5" s="5" t="s">
        <v>23</v>
      </c>
      <c r="C5" s="11">
        <v>0.49</v>
      </c>
      <c r="D5" s="8">
        <v>9.4E-2</v>
      </c>
      <c r="E5" s="9">
        <f>+C5*D5</f>
        <v>4.6059999999999997E-2</v>
      </c>
    </row>
    <row r="6" spans="2:5" x14ac:dyDescent="0.25">
      <c r="C6" s="10">
        <f>+SUM(C4:C5)</f>
        <v>1</v>
      </c>
      <c r="E6" s="10">
        <f>+SUM(E4:E5)</f>
        <v>7.1559999999999999E-2</v>
      </c>
    </row>
  </sheetData>
  <printOptions horizontalCentered="1"/>
  <pageMargins left="0.2" right="0.2" top="0.75" bottom="0.75" header="0.3" footer="0.3"/>
  <pageSetup orientation="portrait" horizontalDpi="1200" verticalDpi="1200" r:id="rId1"/>
  <headerFooter>
    <oddFooter>&amp;R&amp;"Times New Roman,Regular"Exh. SEF-3 page 10 of 16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8"/>
  <sheetViews>
    <sheetView workbookViewId="0">
      <pane xSplit="1" ySplit="3" topLeftCell="B4" activePane="bottomRight" state="frozen"/>
      <selection activeCell="C35" sqref="C35"/>
      <selection pane="topRight" activeCell="C35" sqref="C35"/>
      <selection pane="bottomLeft" activeCell="C35" sqref="C35"/>
      <selection pane="bottomRight" activeCell="C35" sqref="C35"/>
    </sheetView>
  </sheetViews>
  <sheetFormatPr defaultRowHeight="15" x14ac:dyDescent="0.25"/>
  <cols>
    <col min="1" max="1" width="69" style="80" bestFit="1" customWidth="1"/>
    <col min="2" max="10" width="14.85546875" customWidth="1"/>
    <col min="11" max="11" width="11.5703125" bestFit="1" customWidth="1"/>
    <col min="12" max="21" width="14.85546875" bestFit="1" customWidth="1"/>
  </cols>
  <sheetData>
    <row r="2" spans="1:21" s="80" customFormat="1" x14ac:dyDescent="0.25">
      <c r="A2" s="83"/>
      <c r="B2" s="83" t="s">
        <v>109</v>
      </c>
      <c r="C2" s="83" t="s">
        <v>110</v>
      </c>
      <c r="D2" s="83" t="s">
        <v>111</v>
      </c>
      <c r="E2" s="83" t="s">
        <v>112</v>
      </c>
      <c r="F2" s="83" t="s">
        <v>113</v>
      </c>
      <c r="G2" s="83" t="s">
        <v>114</v>
      </c>
      <c r="H2" s="83" t="s">
        <v>115</v>
      </c>
      <c r="I2" s="83" t="s">
        <v>116</v>
      </c>
      <c r="J2" s="83" t="s">
        <v>117</v>
      </c>
      <c r="K2" s="83">
        <v>2023</v>
      </c>
      <c r="L2" s="83" t="s">
        <v>118</v>
      </c>
      <c r="M2" s="83" t="s">
        <v>119</v>
      </c>
      <c r="N2" s="83" t="s">
        <v>120</v>
      </c>
      <c r="O2" s="83" t="s">
        <v>121</v>
      </c>
      <c r="P2" s="83" t="s">
        <v>122</v>
      </c>
      <c r="Q2" s="83" t="s">
        <v>123</v>
      </c>
      <c r="R2" s="83" t="s">
        <v>124</v>
      </c>
      <c r="S2" s="83" t="s">
        <v>125</v>
      </c>
      <c r="T2" s="83" t="s">
        <v>126</v>
      </c>
      <c r="U2" s="83" t="s">
        <v>127</v>
      </c>
    </row>
    <row r="3" spans="1:21" s="80" customFormat="1" x14ac:dyDescent="0.25">
      <c r="A3" s="83" t="s">
        <v>178</v>
      </c>
      <c r="B3" s="83" t="s">
        <v>105</v>
      </c>
      <c r="C3" s="83" t="s">
        <v>105</v>
      </c>
      <c r="D3" s="83" t="s">
        <v>105</v>
      </c>
      <c r="E3" s="83" t="s">
        <v>105</v>
      </c>
      <c r="F3" s="83" t="s">
        <v>105</v>
      </c>
      <c r="G3" s="83" t="s">
        <v>105</v>
      </c>
      <c r="H3" s="83" t="s">
        <v>105</v>
      </c>
      <c r="I3" s="83" t="s">
        <v>105</v>
      </c>
      <c r="J3" s="83" t="s">
        <v>105</v>
      </c>
      <c r="K3" s="83" t="s">
        <v>21</v>
      </c>
      <c r="L3" s="83" t="s">
        <v>105</v>
      </c>
      <c r="M3" s="83" t="s">
        <v>105</v>
      </c>
      <c r="N3" s="83" t="s">
        <v>105</v>
      </c>
      <c r="O3" s="83" t="s">
        <v>105</v>
      </c>
      <c r="P3" s="83" t="s">
        <v>105</v>
      </c>
      <c r="Q3" s="83" t="s">
        <v>105</v>
      </c>
      <c r="R3" s="83" t="s">
        <v>105</v>
      </c>
      <c r="S3" s="83" t="s">
        <v>105</v>
      </c>
      <c r="T3" s="83" t="s">
        <v>105</v>
      </c>
      <c r="U3" s="83" t="s">
        <v>105</v>
      </c>
    </row>
    <row r="4" spans="1:21" x14ac:dyDescent="0.25">
      <c r="A4" s="82" t="s">
        <v>0</v>
      </c>
      <c r="B4" s="81">
        <v>46351.824999999997</v>
      </c>
      <c r="C4" s="81">
        <v>46351.824999999997</v>
      </c>
      <c r="D4" s="81">
        <v>60434.214999999997</v>
      </c>
      <c r="E4" s="81">
        <v>46351.824999999997</v>
      </c>
      <c r="F4" s="81">
        <v>46351.824999999997</v>
      </c>
      <c r="G4" s="81">
        <v>46351.824999999997</v>
      </c>
      <c r="H4" s="81">
        <v>46351.824999999997</v>
      </c>
      <c r="I4" s="81">
        <v>46351.824999999997</v>
      </c>
      <c r="J4" s="81">
        <v>60434.214999999997</v>
      </c>
      <c r="K4" s="81">
        <f t="shared" ref="K4:K21" si="0">SUM(B4:J4)</f>
        <v>445331.20500000007</v>
      </c>
      <c r="L4" s="81">
        <v>48614.004249999998</v>
      </c>
      <c r="M4" s="81">
        <v>48614.004249999998</v>
      </c>
      <c r="N4" s="81">
        <v>48745.254249999998</v>
      </c>
      <c r="O4" s="81">
        <v>48614.004249999998</v>
      </c>
      <c r="P4" s="81">
        <v>48614.004249999998</v>
      </c>
      <c r="Q4" s="81">
        <v>63400.513749999998</v>
      </c>
      <c r="R4" s="81">
        <v>48614.004249999998</v>
      </c>
      <c r="S4" s="81">
        <v>48614.004249999998</v>
      </c>
      <c r="T4" s="81">
        <v>48614.004249999998</v>
      </c>
      <c r="U4" s="81">
        <v>48614.004249999998</v>
      </c>
    </row>
    <row r="5" spans="1:21" x14ac:dyDescent="0.25">
      <c r="A5" s="82" t="s">
        <v>3</v>
      </c>
      <c r="B5" s="81">
        <v>16259.1850409</v>
      </c>
      <c r="C5" s="81">
        <v>9429.5253582999994</v>
      </c>
      <c r="D5" s="81">
        <v>6296.5264645999996</v>
      </c>
      <c r="E5" s="81">
        <v>1858.3736108000001</v>
      </c>
      <c r="F5" s="81">
        <v>1858.3736108000001</v>
      </c>
      <c r="G5" s="81">
        <v>1858.3736108000001</v>
      </c>
      <c r="H5" s="81">
        <v>1858.3736108000001</v>
      </c>
      <c r="I5" s="81">
        <v>1858.3736108000001</v>
      </c>
      <c r="J5" s="81">
        <v>2207.8729162</v>
      </c>
      <c r="K5" s="81">
        <f t="shared" si="0"/>
        <v>43484.977834000005</v>
      </c>
      <c r="L5" s="81">
        <v>2014.2582826</v>
      </c>
      <c r="M5" s="81"/>
      <c r="N5" s="81">
        <v>4983.1672913000002</v>
      </c>
      <c r="O5" s="81">
        <v>17072.144293000001</v>
      </c>
      <c r="P5" s="81">
        <v>9901.0016262999998</v>
      </c>
      <c r="Q5" s="81">
        <v>6611.3527878000004</v>
      </c>
      <c r="R5" s="81">
        <v>1951.2922913</v>
      </c>
      <c r="S5" s="81">
        <v>1951.2922913</v>
      </c>
      <c r="T5" s="81">
        <v>1951.2922913</v>
      </c>
      <c r="U5" s="81">
        <v>1951.2922913</v>
      </c>
    </row>
    <row r="6" spans="1:21" x14ac:dyDescent="0.25">
      <c r="A6" s="82" t="s">
        <v>4</v>
      </c>
      <c r="B6" s="81">
        <v>12761.1187001</v>
      </c>
      <c r="C6" s="81">
        <v>12761.1187001</v>
      </c>
      <c r="D6" s="81">
        <v>16442.511383500001</v>
      </c>
      <c r="E6" s="81">
        <v>12761.1187001</v>
      </c>
      <c r="F6" s="81">
        <v>12761.1187001</v>
      </c>
      <c r="G6" s="81">
        <v>12761.1187001</v>
      </c>
      <c r="H6" s="81">
        <v>12761.1187001</v>
      </c>
      <c r="I6" s="81">
        <v>12761.1187001</v>
      </c>
      <c r="J6" s="81">
        <v>16442.511383500001</v>
      </c>
      <c r="K6" s="81">
        <f t="shared" si="0"/>
        <v>122212.85366769999</v>
      </c>
      <c r="L6" s="81">
        <v>12209.8209451</v>
      </c>
      <c r="M6" s="81">
        <v>12209.8209451</v>
      </c>
      <c r="N6" s="81">
        <v>45334.924635099997</v>
      </c>
      <c r="O6" s="81">
        <v>13399.1746351</v>
      </c>
      <c r="P6" s="81">
        <v>13399.1746351</v>
      </c>
      <c r="Q6" s="81">
        <v>17264.636952699999</v>
      </c>
      <c r="R6" s="81">
        <v>13399.1746351</v>
      </c>
      <c r="S6" s="81">
        <v>13399.1746351</v>
      </c>
      <c r="T6" s="81">
        <v>13399.1746351</v>
      </c>
      <c r="U6" s="81">
        <v>13399.1746351</v>
      </c>
    </row>
    <row r="7" spans="1:21" x14ac:dyDescent="0.25">
      <c r="A7" s="82" t="s">
        <v>5</v>
      </c>
      <c r="B7" s="81">
        <v>239.24953690000001</v>
      </c>
      <c r="C7" s="81">
        <v>239.24953690000001</v>
      </c>
      <c r="D7" s="81">
        <v>355.74930540000003</v>
      </c>
      <c r="E7" s="81">
        <v>239.24953690000001</v>
      </c>
      <c r="F7" s="81">
        <v>239.24953690000001</v>
      </c>
      <c r="G7" s="81">
        <v>239.24953690000001</v>
      </c>
      <c r="H7" s="81">
        <v>239.24953690000001</v>
      </c>
      <c r="I7" s="81">
        <v>5024.2402754000004</v>
      </c>
      <c r="J7" s="81">
        <v>7470.7354131000002</v>
      </c>
      <c r="K7" s="81">
        <f t="shared" si="0"/>
        <v>14286.2222153</v>
      </c>
      <c r="L7" s="81">
        <v>8542.9695508000004</v>
      </c>
      <c r="M7" s="81">
        <v>8542.9695508000004</v>
      </c>
      <c r="N7" s="81">
        <v>211.83701379999999</v>
      </c>
      <c r="O7" s="81">
        <v>251.21201379999999</v>
      </c>
      <c r="P7" s="81">
        <v>251.21201379999999</v>
      </c>
      <c r="Q7" s="81">
        <v>373.53677069999998</v>
      </c>
      <c r="R7" s="81">
        <v>251.21201379999999</v>
      </c>
      <c r="S7" s="81">
        <v>251.21201379999999</v>
      </c>
      <c r="T7" s="81">
        <v>251.21201379999999</v>
      </c>
      <c r="U7" s="81">
        <v>251.21201379999999</v>
      </c>
    </row>
    <row r="8" spans="1:21" s="86" customFormat="1" x14ac:dyDescent="0.25">
      <c r="A8" s="82" t="s">
        <v>106</v>
      </c>
      <c r="B8" s="81">
        <v>3507.9956778999999</v>
      </c>
      <c r="C8" s="81">
        <v>3507.9956778999999</v>
      </c>
      <c r="D8" s="81">
        <v>4595.3268502999999</v>
      </c>
      <c r="E8" s="81">
        <v>3507.9956778999999</v>
      </c>
      <c r="F8" s="81">
        <v>3507.9956778999999</v>
      </c>
      <c r="G8" s="81">
        <v>3507.9956778999999</v>
      </c>
      <c r="H8" s="81">
        <v>3507.9956778999999</v>
      </c>
      <c r="I8" s="81">
        <v>3507.9956778999999</v>
      </c>
      <c r="J8" s="81">
        <v>4595.3268502999999</v>
      </c>
      <c r="K8" s="81">
        <f t="shared" si="0"/>
        <v>33746.623445899997</v>
      </c>
      <c r="L8" s="81">
        <v>3276.9064315000001</v>
      </c>
      <c r="M8" s="81">
        <v>3332.1095617999999</v>
      </c>
      <c r="N8" s="81">
        <v>3315.8954617999998</v>
      </c>
      <c r="O8" s="81">
        <v>3683.3954617999998</v>
      </c>
      <c r="P8" s="81">
        <v>3683.3954617999998</v>
      </c>
      <c r="Q8" s="81">
        <v>4825.0931928</v>
      </c>
      <c r="R8" s="81">
        <v>3683.3954617999998</v>
      </c>
      <c r="S8" s="81">
        <v>3683.3954617999998</v>
      </c>
      <c r="T8" s="81">
        <v>3683.3954617999998</v>
      </c>
      <c r="U8" s="81">
        <v>3683.3954617999998</v>
      </c>
    </row>
    <row r="9" spans="1:21" s="86" customFormat="1" x14ac:dyDescent="0.25">
      <c r="A9" s="82" t="s">
        <v>6</v>
      </c>
      <c r="B9" s="81">
        <v>3750.1681299000002</v>
      </c>
      <c r="C9" s="81">
        <v>3637.8264920000001</v>
      </c>
      <c r="D9" s="81">
        <v>2709.0979702</v>
      </c>
      <c r="E9" s="81">
        <v>716.94390720000001</v>
      </c>
      <c r="F9" s="81">
        <v>716.94390720000001</v>
      </c>
      <c r="G9" s="81">
        <v>716.94390720000001</v>
      </c>
      <c r="H9" s="81">
        <v>716.94390720000001</v>
      </c>
      <c r="I9" s="81">
        <v>716.94390720000001</v>
      </c>
      <c r="J9" s="81">
        <v>949.94344409999997</v>
      </c>
      <c r="K9" s="81">
        <f t="shared" si="0"/>
        <v>14631.755572200002</v>
      </c>
      <c r="L9" s="81">
        <v>1355.0311051000001</v>
      </c>
      <c r="M9" s="81"/>
      <c r="N9" s="81">
        <v>674.04110249999997</v>
      </c>
      <c r="O9" s="81">
        <v>3937.6765363999998</v>
      </c>
      <c r="P9" s="81">
        <v>3819.7178165999999</v>
      </c>
      <c r="Q9" s="81">
        <v>2844.5528687000001</v>
      </c>
      <c r="R9" s="81">
        <v>752.79110249999997</v>
      </c>
      <c r="S9" s="81">
        <v>752.79110249999997</v>
      </c>
      <c r="T9" s="81">
        <v>752.79110249999997</v>
      </c>
      <c r="U9" s="81">
        <v>752.79110249999997</v>
      </c>
    </row>
    <row r="10" spans="1:21" s="86" customFormat="1" x14ac:dyDescent="0.25">
      <c r="A10" s="82" t="s">
        <v>7</v>
      </c>
      <c r="B10" s="81">
        <v>5266.1313105999998</v>
      </c>
      <c r="C10" s="81">
        <v>5169.4017838</v>
      </c>
      <c r="D10" s="81">
        <v>5469.8762935000004</v>
      </c>
      <c r="E10" s="81">
        <v>2654.4340870999999</v>
      </c>
      <c r="F10" s="81">
        <v>2654.4340870999999</v>
      </c>
      <c r="G10" s="81">
        <v>2654.4340870999999</v>
      </c>
      <c r="H10" s="81">
        <v>2654.4340870999999</v>
      </c>
      <c r="I10" s="81">
        <v>2654.4340870999999</v>
      </c>
      <c r="J10" s="81">
        <v>3823.3150974</v>
      </c>
      <c r="K10" s="81">
        <f t="shared" si="0"/>
        <v>33000.89492079999</v>
      </c>
      <c r="L10" s="81">
        <v>4819.0468979999996</v>
      </c>
      <c r="M10" s="81"/>
      <c r="N10" s="81">
        <v>2392.0932914999999</v>
      </c>
      <c r="O10" s="81">
        <v>5529.4378760999998</v>
      </c>
      <c r="P10" s="81">
        <v>5427.8718730000001</v>
      </c>
      <c r="Q10" s="81">
        <v>5743.3701080999999</v>
      </c>
      <c r="R10" s="81">
        <v>2787.1557914999999</v>
      </c>
      <c r="S10" s="81">
        <v>2787.1557914999999</v>
      </c>
      <c r="T10" s="81">
        <v>2787.1557914999999</v>
      </c>
      <c r="U10" s="81">
        <v>2787.1557914999999</v>
      </c>
    </row>
    <row r="11" spans="1:21" s="86" customFormat="1" x14ac:dyDescent="0.25">
      <c r="A11" s="82" t="s">
        <v>8</v>
      </c>
      <c r="B11" s="81"/>
      <c r="C11" s="81"/>
      <c r="D11" s="81"/>
      <c r="E11" s="81"/>
      <c r="F11" s="81"/>
      <c r="G11" s="81"/>
      <c r="H11" s="81"/>
      <c r="I11" s="81"/>
      <c r="J11" s="81"/>
      <c r="K11" s="81">
        <f t="shared" si="0"/>
        <v>0</v>
      </c>
      <c r="L11" s="81"/>
      <c r="M11" s="81"/>
      <c r="N11" s="81"/>
      <c r="O11" s="81"/>
      <c r="P11" s="81"/>
      <c r="Q11" s="81"/>
      <c r="R11" s="81"/>
      <c r="S11" s="81"/>
      <c r="T11" s="81"/>
      <c r="U11" s="81"/>
    </row>
    <row r="12" spans="1:21" s="86" customFormat="1" x14ac:dyDescent="0.25">
      <c r="A12" s="82" t="s">
        <v>9</v>
      </c>
      <c r="B12" s="81">
        <v>6475.4502666999997</v>
      </c>
      <c r="C12" s="81">
        <v>6475.4502666999997</v>
      </c>
      <c r="D12" s="81">
        <v>6475.4502666999997</v>
      </c>
      <c r="E12" s="81">
        <v>6475.4502666999997</v>
      </c>
      <c r="F12" s="81">
        <v>6475.4502666999997</v>
      </c>
      <c r="G12" s="81">
        <v>6475.4502666999997</v>
      </c>
      <c r="H12" s="81">
        <v>6475.4502666999997</v>
      </c>
      <c r="I12" s="81">
        <v>6475.4502666999997</v>
      </c>
      <c r="J12" s="81">
        <v>6475.4502666999997</v>
      </c>
      <c r="K12" s="81">
        <f t="shared" si="0"/>
        <v>58279.052400299988</v>
      </c>
      <c r="L12" s="81">
        <v>6799.2227800000001</v>
      </c>
      <c r="M12" s="81">
        <v>6799.2227800000001</v>
      </c>
      <c r="N12" s="81">
        <v>6799.2227800000001</v>
      </c>
      <c r="O12" s="81">
        <v>6799.2227800000001</v>
      </c>
      <c r="P12" s="81">
        <v>6799.2227800000001</v>
      </c>
      <c r="Q12" s="81">
        <v>6799.2227800000001</v>
      </c>
      <c r="R12" s="81">
        <v>6799.2227800000001</v>
      </c>
      <c r="S12" s="81">
        <v>6799.2227800000001</v>
      </c>
      <c r="T12" s="81">
        <v>6799.2227800000001</v>
      </c>
      <c r="U12" s="81">
        <v>6799.2227800000001</v>
      </c>
    </row>
    <row r="13" spans="1:21" s="86" customFormat="1" x14ac:dyDescent="0.25">
      <c r="A13" s="82" t="s">
        <v>10</v>
      </c>
      <c r="B13" s="81">
        <v>4235.9806061999998</v>
      </c>
      <c r="C13" s="81">
        <v>4235.9806061999998</v>
      </c>
      <c r="D13" s="81">
        <v>4235.9806061999998</v>
      </c>
      <c r="E13" s="81">
        <v>4235.9806061999998</v>
      </c>
      <c r="F13" s="81">
        <v>4235.9806061999998</v>
      </c>
      <c r="G13" s="81">
        <v>4235.9806061999998</v>
      </c>
      <c r="H13" s="81">
        <v>4235.9806061999998</v>
      </c>
      <c r="I13" s="81">
        <v>4235.9806061999998</v>
      </c>
      <c r="J13" s="81">
        <v>4235.9806061999998</v>
      </c>
      <c r="K13" s="81">
        <f t="shared" si="0"/>
        <v>38123.825455799997</v>
      </c>
      <c r="L13" s="81">
        <v>4447.7796365000004</v>
      </c>
      <c r="M13" s="81">
        <v>4447.7796365000004</v>
      </c>
      <c r="N13" s="81">
        <v>4465.7002132999996</v>
      </c>
      <c r="O13" s="81">
        <v>4447.7796365000004</v>
      </c>
      <c r="P13" s="81">
        <v>4447.7796365000004</v>
      </c>
      <c r="Q13" s="81">
        <v>4447.7796365000004</v>
      </c>
      <c r="R13" s="81">
        <v>4447.7796365000004</v>
      </c>
      <c r="S13" s="81">
        <v>4447.7796365000004</v>
      </c>
      <c r="T13" s="81">
        <v>4447.7796365000004</v>
      </c>
      <c r="U13" s="81">
        <v>4447.7796365000004</v>
      </c>
    </row>
    <row r="14" spans="1:21" s="86" customFormat="1" x14ac:dyDescent="0.25">
      <c r="A14" s="82" t="s">
        <v>11</v>
      </c>
      <c r="B14" s="81">
        <v>18865.271756400001</v>
      </c>
      <c r="C14" s="81">
        <v>18865.271756400001</v>
      </c>
      <c r="D14" s="81">
        <v>21777.765967899999</v>
      </c>
      <c r="E14" s="81">
        <v>18865.271756400001</v>
      </c>
      <c r="F14" s="81">
        <v>24865.271756400001</v>
      </c>
      <c r="G14" s="81">
        <v>18865.271756400001</v>
      </c>
      <c r="H14" s="81">
        <v>18865.271756400001</v>
      </c>
      <c r="I14" s="81">
        <v>18865.271756400001</v>
      </c>
      <c r="J14" s="81">
        <v>21777.765967899999</v>
      </c>
      <c r="K14" s="81">
        <f t="shared" si="0"/>
        <v>181612.43423060002</v>
      </c>
      <c r="L14" s="81">
        <v>18867.590969199999</v>
      </c>
      <c r="M14" s="81">
        <v>18867.590969199999</v>
      </c>
      <c r="N14" s="81">
        <v>24074.160344200001</v>
      </c>
      <c r="O14" s="81">
        <v>19808.535344200001</v>
      </c>
      <c r="P14" s="81">
        <v>19808.535344200001</v>
      </c>
      <c r="Q14" s="81">
        <v>22866.6542663</v>
      </c>
      <c r="R14" s="81">
        <v>19808.535344200001</v>
      </c>
      <c r="S14" s="81">
        <v>26108.535344200001</v>
      </c>
      <c r="T14" s="81">
        <v>19808.535344200001</v>
      </c>
      <c r="U14" s="81">
        <v>19808.535344200001</v>
      </c>
    </row>
    <row r="15" spans="1:21" s="86" customFormat="1" x14ac:dyDescent="0.25">
      <c r="A15" s="82" t="s">
        <v>12</v>
      </c>
      <c r="B15" s="81">
        <v>53829.376923900003</v>
      </c>
      <c r="C15" s="81">
        <v>53829.376923900003</v>
      </c>
      <c r="D15" s="81">
        <v>68523.881052500001</v>
      </c>
      <c r="E15" s="81">
        <v>53829.376923900003</v>
      </c>
      <c r="F15" s="81">
        <v>53829.376923900003</v>
      </c>
      <c r="G15" s="81">
        <v>53829.376923900003</v>
      </c>
      <c r="H15" s="81">
        <v>53829.376923900003</v>
      </c>
      <c r="I15" s="81">
        <v>53829.376923900003</v>
      </c>
      <c r="J15" s="81">
        <v>68523.881052500001</v>
      </c>
      <c r="K15" s="81">
        <f t="shared" si="0"/>
        <v>513853.40057229996</v>
      </c>
      <c r="L15" s="81">
        <v>52996.870210100002</v>
      </c>
      <c r="M15" s="81">
        <v>47450.2830101</v>
      </c>
      <c r="N15" s="81">
        <v>51554.345770100001</v>
      </c>
      <c r="O15" s="81">
        <v>56520.845770100001</v>
      </c>
      <c r="P15" s="81">
        <v>56520.845770100001</v>
      </c>
      <c r="Q15" s="81">
        <v>71950.075105099997</v>
      </c>
      <c r="R15" s="81">
        <v>56520.845770100001</v>
      </c>
      <c r="S15" s="81">
        <v>56520.845770100001</v>
      </c>
      <c r="T15" s="81">
        <v>56520.845770100001</v>
      </c>
      <c r="U15" s="81">
        <v>56520.845770100001</v>
      </c>
    </row>
    <row r="16" spans="1:21" s="86" customFormat="1" x14ac:dyDescent="0.25">
      <c r="A16" s="82" t="s">
        <v>13</v>
      </c>
      <c r="B16" s="81">
        <v>9347.4751825999992</v>
      </c>
      <c r="C16" s="81">
        <v>9347.4751825999992</v>
      </c>
      <c r="D16" s="81">
        <v>11398.0264405</v>
      </c>
      <c r="E16" s="81">
        <v>9347.4751825999992</v>
      </c>
      <c r="F16" s="81">
        <v>9347.4751825999992</v>
      </c>
      <c r="G16" s="81">
        <v>9347.4751825999992</v>
      </c>
      <c r="H16" s="81">
        <v>9347.4751825999992</v>
      </c>
      <c r="I16" s="81">
        <v>9347.4751825999992</v>
      </c>
      <c r="J16" s="81">
        <v>11398.0264405</v>
      </c>
      <c r="K16" s="81">
        <f t="shared" si="0"/>
        <v>88228.379159199991</v>
      </c>
      <c r="L16" s="81">
        <v>13486.773918000001</v>
      </c>
      <c r="M16" s="81">
        <v>13486.773918000001</v>
      </c>
      <c r="N16" s="81">
        <v>21989.5464417</v>
      </c>
      <c r="O16" s="81">
        <v>9814.8489417000001</v>
      </c>
      <c r="P16" s="81">
        <v>9814.8489417000001</v>
      </c>
      <c r="Q16" s="81">
        <v>11967.9277625</v>
      </c>
      <c r="R16" s="81">
        <v>9814.8489417000001</v>
      </c>
      <c r="S16" s="81">
        <v>9814.8489417000001</v>
      </c>
      <c r="T16" s="81">
        <v>9814.8489417000001</v>
      </c>
      <c r="U16" s="81">
        <v>9814.8489417000001</v>
      </c>
    </row>
    <row r="17" spans="1:21" s="86" customFormat="1" x14ac:dyDescent="0.25">
      <c r="A17" s="82" t="s">
        <v>14</v>
      </c>
      <c r="B17" s="81">
        <v>42176.838316699999</v>
      </c>
      <c r="C17" s="81">
        <v>42176.838316699999</v>
      </c>
      <c r="D17" s="81">
        <v>42176.838316699999</v>
      </c>
      <c r="E17" s="81">
        <v>42176.838316699999</v>
      </c>
      <c r="F17" s="81">
        <v>42176.838316699999</v>
      </c>
      <c r="G17" s="81">
        <v>42176.838316699999</v>
      </c>
      <c r="H17" s="81">
        <v>42176.838316699999</v>
      </c>
      <c r="I17" s="81">
        <v>42176.838316699999</v>
      </c>
      <c r="J17" s="81">
        <v>42176.838316699999</v>
      </c>
      <c r="K17" s="81">
        <f t="shared" si="0"/>
        <v>379591.54485030007</v>
      </c>
      <c r="L17" s="81">
        <v>44285.680232500003</v>
      </c>
      <c r="M17" s="81">
        <v>26506.136999999999</v>
      </c>
      <c r="N17" s="81">
        <v>44285.680232500003</v>
      </c>
      <c r="O17" s="81">
        <v>44285.680232500003</v>
      </c>
      <c r="P17" s="81">
        <v>44285.680232500003</v>
      </c>
      <c r="Q17" s="81">
        <v>44285.680232500003</v>
      </c>
      <c r="R17" s="81">
        <v>44285.680232500003</v>
      </c>
      <c r="S17" s="81">
        <v>44285.680232500003</v>
      </c>
      <c r="T17" s="81">
        <v>44285.680232500003</v>
      </c>
      <c r="U17" s="81">
        <v>44285.680232500003</v>
      </c>
    </row>
    <row r="18" spans="1:21" s="86" customFormat="1" x14ac:dyDescent="0.25">
      <c r="A18" s="82" t="s">
        <v>107</v>
      </c>
      <c r="B18" s="81">
        <v>5333.3333333</v>
      </c>
      <c r="C18" s="81">
        <v>4333.3333333</v>
      </c>
      <c r="D18" s="81">
        <v>4333.3333333</v>
      </c>
      <c r="E18" s="81">
        <v>4333.3333333</v>
      </c>
      <c r="F18" s="81">
        <v>4333.3333333</v>
      </c>
      <c r="G18" s="81">
        <v>4333.3333333</v>
      </c>
      <c r="H18" s="81">
        <v>4333.3333333</v>
      </c>
      <c r="I18" s="81">
        <v>4333.3333333</v>
      </c>
      <c r="J18" s="81">
        <v>4333.3333333</v>
      </c>
      <c r="K18" s="81">
        <f t="shared" si="0"/>
        <v>39999.999999699998</v>
      </c>
      <c r="L18" s="81">
        <v>4550</v>
      </c>
      <c r="M18" s="81">
        <v>55013.252</v>
      </c>
      <c r="N18" s="81">
        <v>62037.5</v>
      </c>
      <c r="O18" s="81">
        <v>5600</v>
      </c>
      <c r="P18" s="81">
        <v>4550</v>
      </c>
      <c r="Q18" s="81">
        <v>4550</v>
      </c>
      <c r="R18" s="81">
        <v>4550</v>
      </c>
      <c r="S18" s="81">
        <v>4550</v>
      </c>
      <c r="T18" s="81">
        <v>4550</v>
      </c>
      <c r="U18" s="81">
        <v>4550</v>
      </c>
    </row>
    <row r="19" spans="1:21" s="86" customFormat="1" x14ac:dyDescent="0.25">
      <c r="A19" s="82" t="s">
        <v>108</v>
      </c>
      <c r="B19" s="81">
        <v>104522.8434</v>
      </c>
      <c r="C19" s="81">
        <v>104522.8434</v>
      </c>
      <c r="D19" s="81">
        <v>104522.8434</v>
      </c>
      <c r="E19" s="81">
        <v>104522.8434</v>
      </c>
      <c r="F19" s="81">
        <v>104522.8434</v>
      </c>
      <c r="G19" s="81">
        <v>104522.8434</v>
      </c>
      <c r="H19" s="81">
        <v>104707.6053048</v>
      </c>
      <c r="I19" s="81">
        <v>104707.6053048</v>
      </c>
      <c r="J19" s="81">
        <v>104707.6053048</v>
      </c>
      <c r="K19" s="81">
        <f t="shared" si="0"/>
        <v>941259.87631439988</v>
      </c>
      <c r="L19" s="81">
        <v>112687.56482499999</v>
      </c>
      <c r="M19" s="81">
        <v>110034.73557</v>
      </c>
      <c r="N19" s="81">
        <v>109748.98557</v>
      </c>
      <c r="O19" s="81">
        <v>109748.98557</v>
      </c>
      <c r="P19" s="81">
        <v>109748.98557</v>
      </c>
      <c r="Q19" s="81">
        <v>109748.98557</v>
      </c>
      <c r="R19" s="81">
        <v>109748.98557</v>
      </c>
      <c r="S19" s="81">
        <v>109748.98557</v>
      </c>
      <c r="T19" s="81">
        <v>109748.98557</v>
      </c>
      <c r="U19" s="81">
        <v>109942.98557</v>
      </c>
    </row>
    <row r="20" spans="1:21" s="86" customFormat="1" x14ac:dyDescent="0.25">
      <c r="A20" s="82" t="s">
        <v>1</v>
      </c>
      <c r="B20" s="81">
        <v>175842.76626800001</v>
      </c>
      <c r="C20" s="81">
        <v>176138.67014</v>
      </c>
      <c r="D20" s="81">
        <v>117587.93030000001</v>
      </c>
      <c r="E20" s="81">
        <v>57732.781532000001</v>
      </c>
      <c r="F20" s="81">
        <v>57732.781532000001</v>
      </c>
      <c r="G20" s="81">
        <v>57436.877659999998</v>
      </c>
      <c r="H20" s="81">
        <v>176138.67014</v>
      </c>
      <c r="I20" s="81">
        <v>55256.533340000002</v>
      </c>
      <c r="J20" s="81">
        <v>57732.781532000001</v>
      </c>
      <c r="K20" s="81">
        <f t="shared" si="0"/>
        <v>931599.79244400014</v>
      </c>
      <c r="L20" s="81">
        <v>64714.999200600003</v>
      </c>
      <c r="M20" s="81">
        <v>59687.323411799996</v>
      </c>
      <c r="N20" s="81">
        <v>60619.420608599998</v>
      </c>
      <c r="O20" s="81">
        <v>184634.90458140001</v>
      </c>
      <c r="P20" s="81">
        <v>184945.60364700001</v>
      </c>
      <c r="Q20" s="81">
        <v>123467.32681499999</v>
      </c>
      <c r="R20" s="81">
        <v>60619.420608599998</v>
      </c>
      <c r="S20" s="81">
        <v>60619.420608599998</v>
      </c>
      <c r="T20" s="81">
        <v>60308.721543</v>
      </c>
      <c r="U20" s="81">
        <v>184945.60364700001</v>
      </c>
    </row>
    <row r="21" spans="1:21" s="86" customFormat="1" x14ac:dyDescent="0.25">
      <c r="A21" s="82" t="s">
        <v>2</v>
      </c>
      <c r="B21" s="81"/>
      <c r="C21" s="81"/>
      <c r="D21" s="81"/>
      <c r="E21" s="81"/>
      <c r="F21" s="81"/>
      <c r="G21" s="81"/>
      <c r="H21" s="81"/>
      <c r="I21" s="81"/>
      <c r="J21" s="81"/>
      <c r="K21" s="81">
        <f t="shared" si="0"/>
        <v>0</v>
      </c>
      <c r="L21" s="81"/>
      <c r="M21" s="81">
        <v>29133.037499999999</v>
      </c>
      <c r="N21" s="81"/>
      <c r="O21" s="81"/>
      <c r="P21" s="81"/>
      <c r="Q21" s="81"/>
      <c r="R21" s="81"/>
      <c r="S21" s="81"/>
      <c r="T21" s="81"/>
      <c r="U21" s="81"/>
    </row>
    <row r="22" spans="1:21" s="86" customFormat="1" x14ac:dyDescent="0.25">
      <c r="A22" s="82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86" customFormat="1" x14ac:dyDescent="0.25">
      <c r="A23" s="214"/>
      <c r="B23" s="215">
        <f t="shared" ref="B23:J23" si="1">SUM(B4:B22)</f>
        <v>508765.00945010001</v>
      </c>
      <c r="C23" s="215">
        <f t="shared" si="1"/>
        <v>501022.18247479998</v>
      </c>
      <c r="D23" s="215">
        <f t="shared" si="1"/>
        <v>477335.35295129998</v>
      </c>
      <c r="E23" s="215">
        <f t="shared" si="1"/>
        <v>369609.2918378</v>
      </c>
      <c r="F23" s="215">
        <f t="shared" si="1"/>
        <v>375609.2918378</v>
      </c>
      <c r="G23" s="215">
        <f t="shared" si="1"/>
        <v>369313.38796580001</v>
      </c>
      <c r="H23" s="215">
        <f t="shared" si="1"/>
        <v>488199.94235060003</v>
      </c>
      <c r="I23" s="215">
        <f t="shared" si="1"/>
        <v>372102.79628910002</v>
      </c>
      <c r="J23" s="215">
        <f t="shared" si="1"/>
        <v>417285.5829252</v>
      </c>
      <c r="K23" s="216">
        <f>SUM(K4:K22)</f>
        <v>3879242.8380825003</v>
      </c>
      <c r="L23" s="215">
        <f>SUM(L4:L22)</f>
        <v>403668.51923500001</v>
      </c>
      <c r="M23" s="215">
        <f t="shared" ref="M23:U23" si="2">SUM(M4:M22)</f>
        <v>444125.04010329989</v>
      </c>
      <c r="N23" s="215">
        <f t="shared" si="2"/>
        <v>491231.77500640001</v>
      </c>
      <c r="O23" s="215">
        <f t="shared" si="2"/>
        <v>534147.84792260011</v>
      </c>
      <c r="P23" s="215">
        <f t="shared" si="2"/>
        <v>526017.87959860009</v>
      </c>
      <c r="Q23" s="215">
        <f t="shared" si="2"/>
        <v>501146.7085987</v>
      </c>
      <c r="R23" s="215">
        <f t="shared" si="2"/>
        <v>388034.34442960005</v>
      </c>
      <c r="S23" s="215">
        <f t="shared" si="2"/>
        <v>394334.34442960005</v>
      </c>
      <c r="T23" s="215">
        <f t="shared" si="2"/>
        <v>387723.64536400005</v>
      </c>
      <c r="U23" s="215">
        <f t="shared" si="2"/>
        <v>512554.52746800007</v>
      </c>
    </row>
    <row r="24" spans="1:21" x14ac:dyDescent="0.25">
      <c r="B24" s="176">
        <f>SUM(B4:B21)</f>
        <v>508765.00945010001</v>
      </c>
      <c r="C24" s="176">
        <f t="shared" ref="C24:J24" si="3">SUM(C4:C21)</f>
        <v>501022.18247479998</v>
      </c>
      <c r="D24" s="176">
        <f t="shared" si="3"/>
        <v>477335.35295129998</v>
      </c>
      <c r="E24" s="176">
        <f t="shared" si="3"/>
        <v>369609.2918378</v>
      </c>
      <c r="F24" s="176">
        <f t="shared" si="3"/>
        <v>375609.2918378</v>
      </c>
      <c r="G24" s="176">
        <f t="shared" si="3"/>
        <v>369313.38796580001</v>
      </c>
      <c r="H24" s="176">
        <f t="shared" si="3"/>
        <v>488199.94235060003</v>
      </c>
      <c r="I24" s="176">
        <f t="shared" si="3"/>
        <v>372102.79628910002</v>
      </c>
      <c r="J24" s="176">
        <f t="shared" si="3"/>
        <v>417285.5829252</v>
      </c>
      <c r="K24" s="176"/>
      <c r="L24" s="176">
        <f>SUM(L4:L21)</f>
        <v>403668.51923500001</v>
      </c>
      <c r="M24" s="176">
        <f t="shared" ref="M24:U24" si="4">SUM(M4:M21)</f>
        <v>444125.04010329989</v>
      </c>
      <c r="N24" s="176">
        <f t="shared" si="4"/>
        <v>491231.77500640001</v>
      </c>
      <c r="O24" s="176">
        <f t="shared" si="4"/>
        <v>534147.84792260011</v>
      </c>
      <c r="P24" s="176">
        <f t="shared" si="4"/>
        <v>526017.87959860009</v>
      </c>
      <c r="Q24" s="176">
        <f t="shared" si="4"/>
        <v>501146.7085987</v>
      </c>
      <c r="R24" s="176">
        <f t="shared" si="4"/>
        <v>388034.34442960005</v>
      </c>
      <c r="S24" s="176">
        <f t="shared" si="4"/>
        <v>394334.34442960005</v>
      </c>
      <c r="T24" s="176">
        <f t="shared" si="4"/>
        <v>387723.64536400005</v>
      </c>
      <c r="U24" s="176">
        <f t="shared" si="4"/>
        <v>512554.52746800007</v>
      </c>
    </row>
    <row r="25" spans="1:21" x14ac:dyDescent="0.25">
      <c r="T25" s="143" t="s">
        <v>153</v>
      </c>
      <c r="U25" s="4">
        <f>SUM(I24:U24)</f>
        <v>5372373.0113701001</v>
      </c>
    </row>
    <row r="26" spans="1:21" x14ac:dyDescent="0.25">
      <c r="T26" s="143" t="s">
        <v>154</v>
      </c>
      <c r="U26" s="142">
        <v>0.79</v>
      </c>
    </row>
    <row r="27" spans="1:21" ht="15.75" thickBot="1" x14ac:dyDescent="0.3">
      <c r="T27" s="143" t="s">
        <v>155</v>
      </c>
      <c r="U27" s="144">
        <f>-U25*U26</f>
        <v>-4244174.6789823789</v>
      </c>
    </row>
    <row r="28" spans="1:21" ht="15.75" thickTop="1" x14ac:dyDescent="0.25"/>
  </sheetData>
  <pageMargins left="0.7" right="0.2" top="0.75" bottom="0.75" header="0.3" footer="0.3"/>
  <pageSetup firstPageNumber="11" orientation="landscape" useFirstPageNumber="1" horizontalDpi="1200" verticalDpi="1200" r:id="rId1"/>
  <headerFooter>
    <oddFooter>&amp;R&amp;"Times New Roman,Regular"Exh. SEF-3 page &amp;P of 16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2023-05-25T07:00:00+00:00</OpenedDate>
    <SignificantOrder xmlns="dc463f71-b30c-4ab2-9473-d307f9d35888">false</SignificantOrder>
    <Date1 xmlns="dc463f71-b30c-4ab2-9473-d307f9d35888">2024-05-03T07:00:00+00:00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230393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51A869FC564E24E898CF4C8794BB580" ma:contentTypeVersion="16" ma:contentTypeDescription="" ma:contentTypeScope="" ma:versionID="5b500d7e6452a27d5259dfe18f391c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0657A9-4DC7-47D4-AA7D-6FB82A0063BD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D3AC14-6B53-4D96-A0C2-ED3789DE8567}"/>
</file>

<file path=customXml/itemProps3.xml><?xml version="1.0" encoding="utf-8"?>
<ds:datastoreItem xmlns:ds="http://schemas.openxmlformats.org/officeDocument/2006/customXml" ds:itemID="{B5BFDFD6-7074-44B6-AB68-56981476D4F6}"/>
</file>

<file path=customXml/itemProps4.xml><?xml version="1.0" encoding="utf-8"?>
<ds:datastoreItem xmlns:ds="http://schemas.openxmlformats.org/officeDocument/2006/customXml" ds:itemID="{EA54A9D4-7B8E-471F-BAA3-CA4C638A23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Summary </vt:lpstr>
      <vt:lpstr>Plant Additions</vt:lpstr>
      <vt:lpstr>Deferrals ---&gt;</vt:lpstr>
      <vt:lpstr>Total Deferrals</vt:lpstr>
      <vt:lpstr>LNG O&amp;M Deferral</vt:lpstr>
      <vt:lpstr>LNG Depreciation Deferral</vt:lpstr>
      <vt:lpstr>LNG Return Deferral</vt:lpstr>
      <vt:lpstr>ROR</vt:lpstr>
      <vt:lpstr>O&amp;M</vt:lpstr>
      <vt:lpstr>Gas Conv Factor</vt:lpstr>
      <vt:lpstr>Sheet1</vt:lpstr>
      <vt:lpstr>'Gas Conv Factor'!Print_Area</vt:lpstr>
      <vt:lpstr>ROR!Print_Area</vt:lpstr>
      <vt:lpstr>'LNG Depreciation Deferral'!Print_Titles</vt:lpstr>
      <vt:lpstr>'LNG O&amp;M Deferral'!Print_Titles</vt:lpstr>
      <vt:lpstr>'LNG Return Deferral'!Print_Titles</vt:lpstr>
      <vt:lpstr>'O&amp;M'!Print_Titles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Free, Susan</cp:lastModifiedBy>
  <cp:lastPrinted>2023-05-04T16:55:32Z</cp:lastPrinted>
  <dcterms:created xsi:type="dcterms:W3CDTF">2022-08-17T20:22:00Z</dcterms:created>
  <dcterms:modified xsi:type="dcterms:W3CDTF">2024-05-01T00:40:15Z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0x0101006E56B4D1795A2E4DB2F0B01679ED314A00951A869FC564E24E898CF4C8794BB580</vt:lpwstr>
  </property>
  <property fmtid="{D5CDD505-2E9C-101B-9397-08002B2CF9AE}" pid="3" name="_docset_NoMedatataSyncRequired">
    <vt:lpwstr>False</vt:lpwstr>
  </property>
</Properties>
</file>