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Sch. 141LNG Tacoma LNG\FILED\Compliance (Filed 4-XX-24)\Compliance Work Papers\"/>
    </mc:Choice>
  </mc:AlternateContent>
  <bookViews>
    <workbookView xWindow="0" yWindow="0" windowWidth="28800" windowHeight="10875"/>
  </bookViews>
  <sheets>
    <sheet name="Summary Changes" sheetId="1" r:id="rId1"/>
    <sheet name="Sch 141D As Filed" sheetId="2" r:id="rId2"/>
    <sheet name="Sch 141LNG roll forward" sheetId="3" r:id="rId3"/>
    <sheet name="Sch 141D roll forward" sheetId="4" r:id="rId4"/>
  </sheets>
  <externalReferences>
    <externalReference r:id="rId5"/>
    <externalReference r:id="rId6"/>
    <externalReference r:id="rId7"/>
    <externalReference r:id="rId8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1">'Sch 141D As Filed'!$A$1:$H$22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D14" i="1"/>
  <c r="B16" i="4" l="1"/>
  <c r="J15" i="4"/>
  <c r="H15" i="4"/>
  <c r="G15" i="4"/>
  <c r="F15" i="4"/>
  <c r="D15" i="4"/>
  <c r="B15" i="4"/>
  <c r="E14" i="4"/>
  <c r="B14" i="4"/>
  <c r="G13" i="4"/>
  <c r="D13" i="4"/>
  <c r="F13" i="4" s="1"/>
  <c r="H13" i="4" s="1"/>
  <c r="J13" i="4" s="1"/>
  <c r="B13" i="4"/>
  <c r="B12" i="4"/>
  <c r="Q11" i="4"/>
  <c r="F11" i="4"/>
  <c r="H11" i="4" s="1"/>
  <c r="J11" i="4" s="1"/>
  <c r="B11" i="4"/>
  <c r="I10" i="4"/>
  <c r="H10" i="4"/>
  <c r="B10" i="4"/>
  <c r="N9" i="4"/>
  <c r="M9" i="4"/>
  <c r="O9" i="4" s="1"/>
  <c r="L9" i="4"/>
  <c r="G9" i="4"/>
  <c r="G12" i="4" s="1"/>
  <c r="G14" i="4" s="1"/>
  <c r="G16" i="4" s="1"/>
  <c r="G3" i="4" s="1"/>
  <c r="D9" i="4"/>
  <c r="D12" i="4" s="1"/>
  <c r="D14" i="4" s="1"/>
  <c r="D16" i="4" s="1"/>
  <c r="D3" i="4" s="1"/>
  <c r="B9" i="4"/>
  <c r="M5" i="4"/>
  <c r="L5" i="4"/>
  <c r="G23" i="3"/>
  <c r="G24" i="3" s="1"/>
  <c r="G26" i="3" s="1"/>
  <c r="L13" i="3" s="1"/>
  <c r="B16" i="3"/>
  <c r="J15" i="3"/>
  <c r="H15" i="3"/>
  <c r="G15" i="3"/>
  <c r="F15" i="3"/>
  <c r="D15" i="3"/>
  <c r="B15" i="3"/>
  <c r="B14" i="3"/>
  <c r="H13" i="3"/>
  <c r="J13" i="3" s="1"/>
  <c r="G13" i="3"/>
  <c r="F13" i="3"/>
  <c r="B13" i="3"/>
  <c r="D12" i="3"/>
  <c r="G12" i="3" s="1"/>
  <c r="B12" i="3"/>
  <c r="G11" i="3"/>
  <c r="F11" i="3"/>
  <c r="H11" i="3" s="1"/>
  <c r="J11" i="3" s="1"/>
  <c r="D11" i="3"/>
  <c r="B11" i="3"/>
  <c r="I10" i="3"/>
  <c r="H10" i="3"/>
  <c r="B10" i="3"/>
  <c r="G9" i="3"/>
  <c r="G14" i="3" s="1"/>
  <c r="G16" i="3" s="1"/>
  <c r="G3" i="3" s="1"/>
  <c r="F9" i="3"/>
  <c r="H9" i="3" s="1"/>
  <c r="D9" i="3"/>
  <c r="B9" i="3"/>
  <c r="L13" i="4" l="1"/>
  <c r="M13" i="4"/>
  <c r="H14" i="3"/>
  <c r="H16" i="3" s="1"/>
  <c r="H3" i="3" s="1"/>
  <c r="J9" i="3"/>
  <c r="D14" i="3"/>
  <c r="D16" i="3" s="1"/>
  <c r="D3" i="3" s="1"/>
  <c r="F12" i="3"/>
  <c r="H12" i="3" s="1"/>
  <c r="J12" i="3" s="1"/>
  <c r="F9" i="4"/>
  <c r="F12" i="4" l="1"/>
  <c r="F14" i="4" s="1"/>
  <c r="F16" i="4" s="1"/>
  <c r="F3" i="4" s="1"/>
  <c r="H9" i="4"/>
  <c r="L9" i="3"/>
  <c r="J10" i="3"/>
  <c r="J14" i="3" s="1"/>
  <c r="J16" i="3" s="1"/>
  <c r="J3" i="3" s="1"/>
  <c r="F14" i="3"/>
  <c r="F16" i="3" s="1"/>
  <c r="F3" i="3" s="1"/>
  <c r="D1" i="3" l="1"/>
  <c r="H12" i="4"/>
  <c r="H14" i="4" s="1"/>
  <c r="H16" i="4" s="1"/>
  <c r="H3" i="4" s="1"/>
  <c r="J9" i="4"/>
  <c r="J12" i="4" l="1"/>
  <c r="J10" i="4"/>
  <c r="J14" i="4" l="1"/>
  <c r="P12" i="4"/>
  <c r="O10" i="4"/>
  <c r="M10" i="4"/>
  <c r="M11" i="4"/>
  <c r="L11" i="4"/>
  <c r="M12" i="4" l="1"/>
  <c r="L12" i="4"/>
  <c r="P14" i="4"/>
  <c r="J16" i="4"/>
  <c r="J3" i="4" s="1"/>
  <c r="D1" i="4" s="1"/>
  <c r="L14" i="4" l="1"/>
  <c r="O12" i="4"/>
  <c r="M14" i="4"/>
  <c r="O14" i="4" s="1"/>
  <c r="G18" i="1" l="1"/>
  <c r="D18" i="1"/>
  <c r="G12" i="1" l="1"/>
  <c r="C12" i="1"/>
  <c r="H9" i="1" l="1"/>
  <c r="E9" i="1"/>
  <c r="C19" i="1"/>
  <c r="C31" i="1" s="1"/>
  <c r="C14" i="1"/>
  <c r="A13" i="2"/>
  <c r="A14" i="2" s="1"/>
  <c r="A15" i="2" s="1"/>
  <c r="A16" i="2" s="1"/>
  <c r="A17" i="2" s="1"/>
  <c r="A18" i="2" s="1"/>
  <c r="A19" i="2" s="1"/>
  <c r="A20" i="2" s="1"/>
  <c r="A21" i="2" s="1"/>
  <c r="A22" i="2" s="1"/>
  <c r="D20" i="2"/>
  <c r="E12" i="2" s="1"/>
  <c r="C13" i="1" l="1"/>
  <c r="C30" i="1" s="1"/>
  <c r="F19" i="2"/>
  <c r="E17" i="2"/>
  <c r="E15" i="2"/>
  <c r="E13" i="2"/>
  <c r="E20" i="2" s="1"/>
  <c r="E18" i="2"/>
  <c r="E16" i="2"/>
  <c r="E14" i="2"/>
  <c r="H14" i="1" l="1"/>
  <c r="O11" i="4" s="1"/>
  <c r="F20" i="2"/>
  <c r="H19" i="2"/>
  <c r="G13" i="1" l="1"/>
  <c r="N12" i="4" s="1"/>
  <c r="G17" i="2"/>
  <c r="H17" i="2" s="1"/>
  <c r="G16" i="2"/>
  <c r="H16" i="2" s="1"/>
  <c r="G14" i="2"/>
  <c r="H14" i="2" s="1"/>
  <c r="G12" i="2"/>
  <c r="G15" i="2"/>
  <c r="H15" i="2" s="1"/>
  <c r="G13" i="2"/>
  <c r="H13" i="2" s="1"/>
  <c r="G18" i="2"/>
  <c r="H18" i="2" s="1"/>
  <c r="H13" i="1" l="1"/>
  <c r="N11" i="4" s="1"/>
  <c r="G30" i="1"/>
  <c r="H12" i="2"/>
  <c r="H20" i="2" s="1"/>
  <c r="G20" i="2"/>
  <c r="H12" i="1" l="1"/>
  <c r="H30" i="1" s="1"/>
  <c r="D7" i="1"/>
  <c r="D8" i="1" s="1"/>
  <c r="C7" i="1"/>
  <c r="C8" i="1" l="1"/>
  <c r="C29" i="1" s="1"/>
  <c r="G7" i="1"/>
  <c r="G8" i="1" s="1"/>
  <c r="E7" i="1"/>
  <c r="E8" i="1" l="1"/>
  <c r="E29" i="1" s="1"/>
  <c r="D29" i="1"/>
  <c r="H7" i="1"/>
  <c r="H8" i="1" l="1"/>
  <c r="H29" i="1" s="1"/>
  <c r="G29" i="1"/>
  <c r="D12" i="1" l="1"/>
  <c r="E14" i="1" l="1"/>
  <c r="E12" i="1"/>
  <c r="D13" i="1" l="1"/>
  <c r="D30" i="1" l="1"/>
  <c r="N14" i="4"/>
  <c r="E13" i="1"/>
  <c r="E30" i="1" s="1"/>
  <c r="E17" i="1" l="1"/>
  <c r="H17" i="1" l="1"/>
  <c r="H18" i="1" l="1"/>
  <c r="G19" i="1"/>
  <c r="E18" i="1"/>
  <c r="D19" i="1"/>
  <c r="H19" i="1" l="1"/>
  <c r="H31" i="1" s="1"/>
  <c r="G31" i="1"/>
  <c r="E19" i="1"/>
  <c r="E31" i="1" s="1"/>
  <c r="D31" i="1"/>
</calcChain>
</file>

<file path=xl/sharedStrings.xml><?xml version="1.0" encoding="utf-8"?>
<sst xmlns="http://schemas.openxmlformats.org/spreadsheetml/2006/main" count="138" uniqueCount="98">
  <si>
    <t>As Filed</t>
  </si>
  <si>
    <t>Change</t>
  </si>
  <si>
    <t>w/ CIAC</t>
  </si>
  <si>
    <t>no CIAC</t>
  </si>
  <si>
    <t>Order 07</t>
  </si>
  <si>
    <t>Changes</t>
  </si>
  <si>
    <t>From As Filed</t>
  </si>
  <si>
    <t>Summary of Revenue Requirement Changes in UG-230393 Compliance Filing</t>
  </si>
  <si>
    <t>Rate Schedule</t>
  </si>
  <si>
    <t>Includes CIAC</t>
  </si>
  <si>
    <t>System</t>
  </si>
  <si>
    <t>88T</t>
  </si>
  <si>
    <t>Portion Allocated to Sch. 88T</t>
  </si>
  <si>
    <t>Total</t>
  </si>
  <si>
    <t>Exclusive Interruptible</t>
  </si>
  <si>
    <t>Contracts</t>
  </si>
  <si>
    <t>Non-exclusive Interruptible</t>
  </si>
  <si>
    <t>Limited Interruptible</t>
  </si>
  <si>
    <t>Interruptible</t>
  </si>
  <si>
    <t>Large Volume</t>
  </si>
  <si>
    <t>Commercial &amp; Industrial</t>
  </si>
  <si>
    <t>16, 23, 53</t>
  </si>
  <si>
    <t>Residential</t>
  </si>
  <si>
    <t>(g)</t>
  </si>
  <si>
    <t>(f)</t>
  </si>
  <si>
    <t>(e)</t>
  </si>
  <si>
    <t>(d)</t>
  </si>
  <si>
    <t>(c)</t>
  </si>
  <si>
    <t>(b)</t>
  </si>
  <si>
    <t>(a)</t>
  </si>
  <si>
    <t>Rev Req</t>
  </si>
  <si>
    <t>Portion</t>
  </si>
  <si>
    <t>to Sch. 88T</t>
  </si>
  <si>
    <t>Each Class</t>
  </si>
  <si>
    <t>Requirement</t>
  </si>
  <si>
    <t>Schedules</t>
  </si>
  <si>
    <t>Rate Class</t>
  </si>
  <si>
    <t>No.</t>
  </si>
  <si>
    <t>Sch. 141D</t>
  </si>
  <si>
    <t>Remaining</t>
  </si>
  <si>
    <t>Percent to</t>
  </si>
  <si>
    <t>Revenue</t>
  </si>
  <si>
    <t>Line</t>
  </si>
  <si>
    <t>Proposed</t>
  </si>
  <si>
    <t>Allocation of</t>
  </si>
  <si>
    <t>Allocated</t>
  </si>
  <si>
    <t>UG-220067</t>
  </si>
  <si>
    <t>Proposed Rates Effective November 1, 2023</t>
  </si>
  <si>
    <t>Allocation of Revenue Requirement</t>
  </si>
  <si>
    <t>2023 Gas Schedule 141D Distribution Pipeline Recovery Filing</t>
  </si>
  <si>
    <t>Puget Sound Energy</t>
  </si>
  <si>
    <t>Refund to Sales Customers</t>
  </si>
  <si>
    <t>Refund from 88T</t>
  </si>
  <si>
    <t>Inter customer class Refund</t>
  </si>
  <si>
    <t>None allocated to 88T</t>
  </si>
  <si>
    <t>Revenue allocation change from 38.2% to 70.4%</t>
  </si>
  <si>
    <t>Revenue allocation change from 61.8% to 29.6%</t>
  </si>
  <si>
    <t>Schedule 88T</t>
  </si>
  <si>
    <t>Sales Customers</t>
  </si>
  <si>
    <r>
      <t xml:space="preserve">Schedule </t>
    </r>
    <r>
      <rPr>
        <b/>
        <sz val="11"/>
        <color rgb="FF7030A0"/>
        <rFont val="Calibri"/>
        <family val="2"/>
        <scheme val="minor"/>
      </rPr>
      <t>141LNG</t>
    </r>
    <r>
      <rPr>
        <b/>
        <sz val="11"/>
        <color theme="1"/>
        <rFont val="Calibri"/>
        <family val="2"/>
        <scheme val="minor"/>
      </rPr>
      <t xml:space="preserve"> Revenue Requirement</t>
    </r>
  </si>
  <si>
    <r>
      <t xml:space="preserve">Schedule </t>
    </r>
    <r>
      <rPr>
        <b/>
        <sz val="11"/>
        <color rgb="FF00B050"/>
        <rFont val="Calibri"/>
        <family val="2"/>
        <scheme val="minor"/>
      </rPr>
      <t>141D</t>
    </r>
    <r>
      <rPr>
        <b/>
        <sz val="11"/>
        <color theme="1"/>
        <rFont val="Calibri"/>
        <family val="2"/>
        <scheme val="minor"/>
      </rPr>
      <t xml:space="preserve"> Revenue Requirement</t>
    </r>
  </si>
  <si>
    <r>
      <t xml:space="preserve">Schedule </t>
    </r>
    <r>
      <rPr>
        <b/>
        <sz val="11"/>
        <color rgb="FF00B050"/>
        <rFont val="Calibri"/>
        <family val="2"/>
        <scheme val="minor"/>
      </rPr>
      <t>141D</t>
    </r>
    <r>
      <rPr>
        <b/>
        <sz val="11"/>
        <color theme="1"/>
        <rFont val="Calibri"/>
        <family val="2"/>
        <scheme val="minor"/>
      </rPr>
      <t xml:space="preserve"> Supplemental Rate Refund</t>
    </r>
  </si>
  <si>
    <t>All allocated to Sales Customers</t>
  </si>
  <si>
    <t>Removes def return and pre-℞ costs from RB &amp; deferrals</t>
  </si>
  <si>
    <t xml:space="preserve">LNG Schedule 141LNG - Roll As Filed to </t>
  </si>
  <si>
    <t>Compliance Filing with CIAC</t>
  </si>
  <si>
    <t>UG-230393</t>
  </si>
  <si>
    <t>Rate Year 2 (2024)</t>
  </si>
  <si>
    <t>Ref</t>
  </si>
  <si>
    <t>Description</t>
  </si>
  <si>
    <t>Rate Base</t>
  </si>
  <si>
    <t>Rate of Return</t>
  </si>
  <si>
    <t>Return on Ratebase</t>
  </si>
  <si>
    <t>NOI</t>
  </si>
  <si>
    <t>Difference</t>
  </si>
  <si>
    <t>Conv Fctr</t>
  </si>
  <si>
    <t>Rqrmt/Defcncy or (Surplus)</t>
  </si>
  <si>
    <t>Check</t>
  </si>
  <si>
    <t>Rounding</t>
  </si>
  <si>
    <t>PSE's Original Filing</t>
  </si>
  <si>
    <t>Update Conversion Factor for Filing Fee change from .004% to .005%.</t>
  </si>
  <si>
    <t>Remove pre-treatment equipment from rate base</t>
  </si>
  <si>
    <t>Remove pre-treatment equipment from deferral calculations</t>
  </si>
  <si>
    <t>Change amortization expense for $18.9 million deferred return disallowance</t>
  </si>
  <si>
    <t>Subtotal Before CIAC Change</t>
  </si>
  <si>
    <t>From Model</t>
  </si>
  <si>
    <t xml:space="preserve">     Difference</t>
  </si>
  <si>
    <t>Disallow Def Return</t>
  </si>
  <si>
    <t>4 Year Amortization</t>
  </si>
  <si>
    <t>NOI Impact</t>
  </si>
  <si>
    <t>Impact on Amort for Pretreatment Equipment</t>
  </si>
  <si>
    <t xml:space="preserve">LNG Schedule 141D - Roll As Filed to </t>
  </si>
  <si>
    <t>Revenue Allocator</t>
  </si>
  <si>
    <t>Per Order</t>
  </si>
  <si>
    <t>Sales</t>
  </si>
  <si>
    <t>Change revenue allocation factor from 61.8%/38.2% to 29.6%/70.4%</t>
  </si>
  <si>
    <t>Apply CIAC to Rate Base</t>
  </si>
  <si>
    <t>Sum of Above for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</si>
</sst>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808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87">
    <xf numFmtId="0" fontId="0" fillId="0" borderId="0" xfId="0"/>
    <xf numFmtId="42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164" fontId="4" fillId="0" borderId="0" xfId="2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3" fillId="0" borderId="2" xfId="1" applyNumberFormat="1" applyFont="1" applyBorder="1" applyAlignment="1">
      <alignment horizontal="center"/>
    </xf>
    <xf numFmtId="165" fontId="3" fillId="0" borderId="0" xfId="0" applyNumberFormat="1" applyFont="1"/>
    <xf numFmtId="165" fontId="3" fillId="0" borderId="0" xfId="1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5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5" fontId="4" fillId="0" borderId="0" xfId="1" applyNumberFormat="1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3" fontId="6" fillId="0" borderId="0" xfId="0" applyNumberFormat="1" applyFont="1"/>
    <xf numFmtId="42" fontId="0" fillId="0" borderId="0" xfId="1" applyNumberFormat="1" applyFont="1" applyFill="1"/>
    <xf numFmtId="0" fontId="2" fillId="0" borderId="0" xfId="3" applyFont="1" applyProtection="1">
      <protection locked="0"/>
    </xf>
    <xf numFmtId="0" fontId="12" fillId="0" borderId="0" xfId="3" applyFont="1" applyProtection="1">
      <protection locked="0"/>
    </xf>
    <xf numFmtId="3" fontId="12" fillId="0" borderId="0" xfId="3" applyNumberFormat="1" applyFont="1" applyFill="1" applyBorder="1" applyAlignment="1" applyProtection="1">
      <protection locked="0"/>
    </xf>
    <xf numFmtId="0" fontId="6" fillId="0" borderId="0" xfId="3" applyFont="1" applyBorder="1" applyAlignment="1" applyProtection="1">
      <alignment horizontal="center"/>
      <protection locked="0"/>
    </xf>
    <xf numFmtId="10" fontId="12" fillId="0" borderId="0" xfId="3" applyNumberFormat="1" applyFont="1" applyProtection="1">
      <protection locked="0"/>
    </xf>
    <xf numFmtId="0" fontId="11" fillId="0" borderId="0" xfId="3"/>
    <xf numFmtId="10" fontId="12" fillId="0" borderId="3" xfId="3" applyNumberFormat="1" applyFont="1" applyBorder="1" applyProtection="1">
      <protection locked="0"/>
    </xf>
    <xf numFmtId="0" fontId="12" fillId="0" borderId="2" xfId="3" applyFont="1" applyBorder="1" applyProtection="1">
      <protection locked="0"/>
    </xf>
    <xf numFmtId="0" fontId="12" fillId="0" borderId="4" xfId="3" applyFont="1" applyBorder="1" applyProtection="1">
      <protection locked="0"/>
    </xf>
    <xf numFmtId="3" fontId="12" fillId="0" borderId="5" xfId="3" applyNumberFormat="1" applyFont="1" applyFill="1" applyBorder="1" applyAlignme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6" xfId="3" applyFont="1" applyBorder="1" applyProtection="1">
      <protection locked="0"/>
    </xf>
    <xf numFmtId="0" fontId="12" fillId="0" borderId="7" xfId="3" applyFont="1" applyBorder="1" applyProtection="1">
      <protection locked="0"/>
    </xf>
    <xf numFmtId="0" fontId="10" fillId="2" borderId="6" xfId="3" applyFont="1" applyFill="1" applyBorder="1" applyAlignment="1" applyProtection="1">
      <alignment horizontal="centerContinuous"/>
      <protection locked="0"/>
    </xf>
    <xf numFmtId="0" fontId="10" fillId="2" borderId="0" xfId="3" applyFont="1" applyFill="1" applyBorder="1" applyAlignment="1" applyProtection="1">
      <alignment horizontal="centerContinuous"/>
      <protection locked="0"/>
    </xf>
    <xf numFmtId="0" fontId="10" fillId="2" borderId="7" xfId="3" applyFont="1" applyFill="1" applyBorder="1" applyAlignment="1" applyProtection="1">
      <alignment horizontal="centerContinuous"/>
      <protection locked="0"/>
    </xf>
    <xf numFmtId="166" fontId="12" fillId="0" borderId="0" xfId="3" applyNumberFormat="1" applyFont="1" applyBorder="1" applyProtection="1">
      <protection locked="0"/>
    </xf>
    <xf numFmtId="164" fontId="11" fillId="0" borderId="0" xfId="3" applyNumberFormat="1"/>
    <xf numFmtId="164" fontId="0" fillId="0" borderId="0" xfId="4" applyNumberFormat="1" applyFont="1"/>
    <xf numFmtId="10" fontId="6" fillId="0" borderId="0" xfId="3" applyNumberFormat="1" applyFont="1" applyBorder="1" applyAlignment="1" applyProtection="1">
      <alignment horizontal="center"/>
      <protection locked="0"/>
    </xf>
    <xf numFmtId="0" fontId="12" fillId="0" borderId="1" xfId="3" applyNumberFormat="1" applyFont="1" applyFill="1" applyBorder="1" applyAlignment="1" applyProtection="1">
      <alignment horizontal="center" vertical="center" wrapText="1"/>
      <protection locked="0"/>
    </xf>
    <xf numFmtId="166" fontId="12" fillId="0" borderId="8" xfId="3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12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3" applyFont="1" applyAlignment="1">
      <alignment horizontal="center"/>
    </xf>
    <xf numFmtId="0" fontId="13" fillId="0" borderId="0" xfId="3" applyFont="1"/>
    <xf numFmtId="0" fontId="12" fillId="0" borderId="0" xfId="3" applyNumberFormat="1" applyFont="1" applyFill="1" applyAlignment="1" applyProtection="1">
      <alignment vertical="top" wrapText="1"/>
      <protection locked="0"/>
    </xf>
    <xf numFmtId="0" fontId="14" fillId="0" borderId="0" xfId="3" applyFont="1" applyFill="1" applyProtection="1">
      <protection locked="0"/>
    </xf>
    <xf numFmtId="42" fontId="14" fillId="0" borderId="6" xfId="3" applyNumberFormat="1" applyFont="1" applyFill="1" applyBorder="1" applyProtection="1">
      <protection locked="0"/>
    </xf>
    <xf numFmtId="10" fontId="14" fillId="0" borderId="0" xfId="3" applyNumberFormat="1" applyFont="1" applyFill="1" applyBorder="1" applyProtection="1">
      <protection locked="0"/>
    </xf>
    <xf numFmtId="42" fontId="14" fillId="0" borderId="0" xfId="3" applyNumberFormat="1" applyFont="1" applyFill="1" applyBorder="1" applyProtection="1">
      <protection locked="0"/>
    </xf>
    <xf numFmtId="0" fontId="12" fillId="0" borderId="0" xfId="3" applyFont="1" applyFill="1" applyBorder="1" applyProtection="1">
      <protection locked="0"/>
    </xf>
    <xf numFmtId="42" fontId="14" fillId="0" borderId="7" xfId="3" applyNumberFormat="1" applyFont="1" applyFill="1" applyBorder="1" applyProtection="1">
      <protection locked="0"/>
    </xf>
    <xf numFmtId="41" fontId="13" fillId="0" borderId="0" xfId="3" applyNumberFormat="1" applyFont="1"/>
    <xf numFmtId="166" fontId="12" fillId="0" borderId="6" xfId="3" applyNumberFormat="1" applyFont="1" applyBorder="1" applyProtection="1">
      <protection locked="0"/>
    </xf>
    <xf numFmtId="10" fontId="12" fillId="0" borderId="0" xfId="3" applyNumberFormat="1" applyFont="1" applyFill="1" applyBorder="1" applyAlignment="1" applyProtection="1">
      <alignment vertical="top"/>
      <protection locked="0"/>
    </xf>
    <xf numFmtId="166" fontId="12" fillId="0" borderId="0" xfId="3" applyNumberFormat="1" applyFont="1" applyFill="1" applyBorder="1" applyAlignment="1" applyProtection="1">
      <alignment vertical="top"/>
      <protection locked="0"/>
    </xf>
    <xf numFmtId="0" fontId="12" fillId="0" borderId="0" xfId="3" applyFont="1" applyFill="1" applyBorder="1" applyAlignment="1" applyProtection="1">
      <alignment vertical="top"/>
      <protection locked="0"/>
    </xf>
    <xf numFmtId="166" fontId="12" fillId="0" borderId="7" xfId="3" applyNumberFormat="1" applyFont="1" applyFill="1" applyBorder="1" applyAlignment="1" applyProtection="1">
      <alignment vertical="top"/>
      <protection locked="0"/>
    </xf>
    <xf numFmtId="166" fontId="12" fillId="0" borderId="3" xfId="3" applyNumberFormat="1" applyFont="1" applyBorder="1" applyProtection="1">
      <protection locked="0"/>
    </xf>
    <xf numFmtId="10" fontId="12" fillId="0" borderId="2" xfId="3" applyNumberFormat="1" applyFont="1" applyFill="1" applyBorder="1" applyAlignment="1" applyProtection="1">
      <alignment vertical="top"/>
      <protection locked="0"/>
    </xf>
    <xf numFmtId="166" fontId="12" fillId="0" borderId="2" xfId="3" applyNumberFormat="1" applyFont="1" applyBorder="1" applyProtection="1">
      <protection locked="0"/>
    </xf>
    <xf numFmtId="0" fontId="12" fillId="0" borderId="2" xfId="3" applyFont="1" applyFill="1" applyBorder="1" applyAlignment="1" applyProtection="1">
      <alignment vertical="top"/>
      <protection locked="0"/>
    </xf>
    <xf numFmtId="166" fontId="12" fillId="0" borderId="4" xfId="3" applyNumberFormat="1" applyFont="1" applyBorder="1" applyAlignment="1" applyProtection="1">
      <alignment vertical="top" wrapText="1"/>
      <protection locked="0"/>
    </xf>
    <xf numFmtId="42" fontId="11" fillId="0" borderId="0" xfId="3" applyNumberFormat="1"/>
    <xf numFmtId="0" fontId="12" fillId="0" borderId="0" xfId="3" applyNumberFormat="1" applyFont="1" applyFill="1" applyAlignment="1" applyProtection="1">
      <alignment vertical="center"/>
      <protection locked="0"/>
    </xf>
    <xf numFmtId="0" fontId="12" fillId="0" borderId="8" xfId="3" applyFont="1" applyBorder="1" applyProtection="1">
      <protection locked="0"/>
    </xf>
    <xf numFmtId="0" fontId="12" fillId="0" borderId="1" xfId="3" applyFont="1" applyBorder="1" applyProtection="1">
      <protection locked="0"/>
    </xf>
    <xf numFmtId="0" fontId="12" fillId="0" borderId="9" xfId="3" applyFont="1" applyBorder="1" applyProtection="1">
      <protection locked="0"/>
    </xf>
    <xf numFmtId="44" fontId="11" fillId="0" borderId="0" xfId="3" applyNumberFormat="1"/>
    <xf numFmtId="0" fontId="11" fillId="0" borderId="0" xfId="3" applyAlignment="1">
      <alignment horizontal="right"/>
    </xf>
    <xf numFmtId="42" fontId="12" fillId="0" borderId="0" xfId="3" applyNumberFormat="1" applyFont="1" applyBorder="1" applyProtection="1">
      <protection locked="0"/>
    </xf>
    <xf numFmtId="42" fontId="12" fillId="0" borderId="10" xfId="3" applyNumberFormat="1" applyFont="1" applyBorder="1" applyProtection="1">
      <protection locked="0"/>
    </xf>
    <xf numFmtId="0" fontId="11" fillId="0" borderId="0" xfId="3" applyAlignment="1">
      <alignment horizontal="centerContinuous"/>
    </xf>
    <xf numFmtId="164" fontId="11" fillId="0" borderId="10" xfId="3" applyNumberFormat="1" applyBorder="1"/>
    <xf numFmtId="0" fontId="11" fillId="0" borderId="0" xfId="3" applyAlignment="1">
      <alignment horizontal="center"/>
    </xf>
    <xf numFmtId="166" fontId="11" fillId="0" borderId="0" xfId="3" applyNumberFormat="1"/>
    <xf numFmtId="42" fontId="13" fillId="0" borderId="0" xfId="3" applyNumberFormat="1" applyFont="1"/>
    <xf numFmtId="42" fontId="11" fillId="0" borderId="2" xfId="3" applyNumberFormat="1" applyBorder="1"/>
    <xf numFmtId="166" fontId="12" fillId="0" borderId="7" xfId="3" applyNumberFormat="1" applyFont="1" applyBorder="1" applyAlignment="1" applyProtection="1">
      <alignment vertical="top" wrapText="1"/>
      <protection locked="0"/>
    </xf>
    <xf numFmtId="0" fontId="2" fillId="0" borderId="0" xfId="3" applyFont="1" applyBorder="1" applyProtection="1">
      <protection locked="0"/>
    </xf>
    <xf numFmtId="166" fontId="12" fillId="0" borderId="4" xfId="3" applyNumberFormat="1" applyFont="1" applyBorder="1" applyProtection="1">
      <protection locked="0"/>
    </xf>
  </cellXfs>
  <cellStyles count="5">
    <cellStyle name="Currency" xfId="1" builtinId="4"/>
    <cellStyle name="Normal" xfId="0" builtinId="0"/>
    <cellStyle name="Normal 2" xfId="3"/>
    <cellStyle name="Percent" xfId="2" builtinId="5"/>
    <cellStyle name="Percent 2" xfId="4"/>
  </cellStyles>
  <dxfs count="48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0393-PSE-WP-Compl-LNG-Sch141LNG-RevReq-04-30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0393-PSE-WP-Compl-LNG-Sch141D-RevReq-04-30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30393-PSE-WP-Compl-LNG-Sch141D-Refunds-04-30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30393-PSE-WP-Compl-GAS-RATE-SPREAD-DESIGN-SCH-141D-141N-88T-04-3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Plant Additions"/>
      <sheetName val="Deferrals ---&gt;"/>
      <sheetName val="Total Deferrals"/>
      <sheetName val="LNG O&amp;M Deferral"/>
      <sheetName val="LNG Depreciation Deferral"/>
      <sheetName val="LNG Return Deferral"/>
      <sheetName val="ROR"/>
      <sheetName val="O&amp;M"/>
      <sheetName val="Gas Conv Factor"/>
      <sheetName val="Sheet1"/>
    </sheetNames>
    <sheetDataSet>
      <sheetData sheetId="0">
        <row r="10">
          <cell r="G10">
            <v>-404578.97470495105</v>
          </cell>
        </row>
        <row r="19">
          <cell r="G19">
            <v>-16631.883725667372</v>
          </cell>
        </row>
        <row r="21">
          <cell r="C21">
            <v>238559884.11499202</v>
          </cell>
          <cell r="F21">
            <v>238981094.97342265</v>
          </cell>
        </row>
        <row r="26">
          <cell r="C26">
            <v>17080887.702633429</v>
          </cell>
        </row>
        <row r="29">
          <cell r="C29">
            <v>-4244174.6789823789</v>
          </cell>
          <cell r="F29">
            <v>-4244174.6789823789</v>
          </cell>
        </row>
        <row r="30">
          <cell r="C30">
            <v>-4970283.4756578729</v>
          </cell>
          <cell r="F30">
            <v>-4981410.0320178997</v>
          </cell>
          <cell r="G30">
            <v>11126.556360026821</v>
          </cell>
        </row>
        <row r="31">
          <cell r="C31">
            <v>-7091842.8389447341</v>
          </cell>
          <cell r="F31">
            <v>-10823500.59966886</v>
          </cell>
          <cell r="G31">
            <v>3731657.7607241264</v>
          </cell>
        </row>
        <row r="32">
          <cell r="C32">
            <v>1277488.1794357824</v>
          </cell>
          <cell r="F32">
            <v>1279743.7635826783</v>
          </cell>
        </row>
        <row r="33">
          <cell r="C33">
            <v>32109700.516782634</v>
          </cell>
        </row>
        <row r="36">
          <cell r="C36">
            <v>42674611.38201727</v>
          </cell>
          <cell r="F36">
            <v>47635936.793030888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NG Upgrade Rev Req"/>
      <sheetName val="Sch 141D from 2022 GRC"/>
      <sheetName val="No CIAC ==&gt;"/>
      <sheetName val="RB by FERC no CIAC"/>
      <sheetName val="Plant in Service no CIAC"/>
      <sheetName val="Accum Depr no CIAC"/>
      <sheetName val="Deprec Exp no CIAC"/>
      <sheetName val="w CIAC ===&gt;"/>
      <sheetName val="RB by FERC w CIAC"/>
      <sheetName val="Plant in Service w CIAC"/>
      <sheetName val="Accum Depr w CIAC"/>
      <sheetName val="Deprec Exp w CIAC"/>
      <sheetName val="Diff===&gt;"/>
      <sheetName val="RB by FERC Diff"/>
      <sheetName val="Plant in Service Diff"/>
      <sheetName val="Accum Depr Diff"/>
      <sheetName val="Deprec Exp Diff"/>
      <sheetName val="Inputs ===&gt;"/>
      <sheetName val="Depr Rates"/>
      <sheetName val="Pivot_1124"/>
      <sheetName val="PP1124_09_2021"/>
      <sheetName val="Ordered CIAC Calc"/>
      <sheetName val="Ordered Allocation "/>
      <sheetName val="Gas Conv Factor"/>
    </sheetNames>
    <sheetDataSet>
      <sheetData sheetId="0">
        <row r="45">
          <cell r="H45">
            <v>21307340.011306316</v>
          </cell>
          <cell r="L45">
            <v>-1927429.4634705745</v>
          </cell>
        </row>
        <row r="51">
          <cell r="H51">
            <v>1525605.5448095321</v>
          </cell>
        </row>
        <row r="61">
          <cell r="H61">
            <v>-498943.5468926123</v>
          </cell>
          <cell r="L61">
            <v>44030.04736694583</v>
          </cell>
        </row>
        <row r="62">
          <cell r="H62">
            <v>-117906.41138000003</v>
          </cell>
          <cell r="L62">
            <v>0</v>
          </cell>
        </row>
        <row r="63">
          <cell r="L63">
            <v>0</v>
          </cell>
        </row>
        <row r="64">
          <cell r="H64">
            <v>114100.80576054529</v>
          </cell>
          <cell r="L64">
            <v>-10321.384776884923</v>
          </cell>
        </row>
        <row r="65">
          <cell r="H65">
            <v>2028354.6973215993</v>
          </cell>
        </row>
        <row r="71">
          <cell r="D71">
            <v>2923945.5969997952</v>
          </cell>
          <cell r="H71">
            <v>2695735.1535510891</v>
          </cell>
        </row>
      </sheetData>
      <sheetData sheetId="1">
        <row r="45">
          <cell r="D45">
            <v>23234769.474776886</v>
          </cell>
        </row>
        <row r="61">
          <cell r="D61">
            <v>-542973.59425955813</v>
          </cell>
        </row>
        <row r="62">
          <cell r="D62">
            <v>-117906.41138000003</v>
          </cell>
        </row>
        <row r="64">
          <cell r="D64">
            <v>124422.19053743022</v>
          </cell>
        </row>
        <row r="71">
          <cell r="D71">
            <v>2914764.6989022968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4">
          <cell r="F24">
            <v>0.75243099999999996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und"/>
      <sheetName val="JDT-6 from 2022 GRC"/>
    </sheetNames>
    <sheetDataSet>
      <sheetData sheetId="0">
        <row r="6">
          <cell r="G6">
            <v>-2739250.5410405048</v>
          </cell>
          <cell r="I6">
            <v>-2831454.4729572646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ate Summary"/>
      <sheetName val="Rate Design (Sch. 141D Refund)"/>
      <sheetName val="Rate Spread (Sch. 141D Refund)"/>
      <sheetName val="Rate Design (Sch. 141D)"/>
      <sheetName val="Rate Spread (Sch. 141D Blocks)"/>
      <sheetName val="Rate Spread (Sch. 141D)"/>
      <sheetName val="Sch. 88T Rate Design"/>
      <sheetName val="Rate Design (Sch. 141N)"/>
      <sheetName val="Rate Spread (Sch. 141N Blocks)"/>
      <sheetName val="Rate Spread (Sch. 141N)"/>
      <sheetName val="Workpapers--&gt;"/>
      <sheetName val="Exh. WJD-3 p. 1"/>
      <sheetName val="Exh JDT-5 (JDT-Rate Spread)"/>
      <sheetName val="Exh JDT-5 (JDT-INTRPL-RD)"/>
      <sheetName val="RY#2 Therms"/>
      <sheetName val="Puget LNG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F22">
            <v>0.70385188325057535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zoomScale="145" zoomScaleNormal="145" workbookViewId="0">
      <selection activeCell="C21" sqref="C21"/>
    </sheetView>
  </sheetViews>
  <sheetFormatPr defaultRowHeight="15" x14ac:dyDescent="0.25"/>
  <cols>
    <col min="1" max="1" width="2.85546875" customWidth="1"/>
    <col min="2" max="2" width="38.85546875" customWidth="1"/>
    <col min="3" max="3" width="12.5703125" bestFit="1" customWidth="1"/>
    <col min="4" max="4" width="14.28515625" bestFit="1" customWidth="1"/>
    <col min="5" max="5" width="13.140625" bestFit="1" customWidth="1"/>
    <col min="6" max="6" width="51.5703125" bestFit="1" customWidth="1"/>
    <col min="7" max="7" width="12.5703125" bestFit="1" customWidth="1"/>
    <col min="8" max="8" width="13.140625" bestFit="1" customWidth="1"/>
    <col min="9" max="9" width="11.5703125" customWidth="1"/>
  </cols>
  <sheetData>
    <row r="1" spans="2:8" x14ac:dyDescent="0.25">
      <c r="B1" s="3" t="s">
        <v>7</v>
      </c>
    </row>
    <row r="2" spans="2:8" x14ac:dyDescent="0.25">
      <c r="B2" s="3"/>
    </row>
    <row r="3" spans="2:8" x14ac:dyDescent="0.25">
      <c r="D3" s="21" t="s">
        <v>2</v>
      </c>
      <c r="E3" s="2" t="s">
        <v>1</v>
      </c>
      <c r="G3" s="21" t="s">
        <v>3</v>
      </c>
      <c r="H3" s="2" t="s">
        <v>1</v>
      </c>
    </row>
    <row r="4" spans="2:8" x14ac:dyDescent="0.25">
      <c r="B4" s="4" t="s">
        <v>8</v>
      </c>
      <c r="C4" s="4" t="s">
        <v>0</v>
      </c>
      <c r="D4" s="4" t="s">
        <v>4</v>
      </c>
      <c r="E4" s="4" t="s">
        <v>6</v>
      </c>
      <c r="F4" s="4" t="s">
        <v>5</v>
      </c>
      <c r="G4" s="4" t="s">
        <v>4</v>
      </c>
      <c r="H4" s="4" t="s">
        <v>6</v>
      </c>
    </row>
    <row r="6" spans="2:8" x14ac:dyDescent="0.25">
      <c r="B6" s="3" t="s">
        <v>59</v>
      </c>
    </row>
    <row r="7" spans="2:8" x14ac:dyDescent="0.25">
      <c r="B7" t="s">
        <v>10</v>
      </c>
      <c r="C7" s="1">
        <f>'[1]Summary '!$F$36</f>
        <v>47635936.793030888</v>
      </c>
      <c r="D7" s="1">
        <f>'[1]Summary '!$C$36</f>
        <v>42674611.38201727</v>
      </c>
      <c r="E7" s="1">
        <f>D7-C7</f>
        <v>-4961325.4110136181</v>
      </c>
      <c r="F7" t="s">
        <v>63</v>
      </c>
      <c r="G7" s="1">
        <f>D7</f>
        <v>42674611.38201727</v>
      </c>
      <c r="H7" s="1">
        <f>G7-C7</f>
        <v>-4961325.4110136181</v>
      </c>
    </row>
    <row r="8" spans="2:8" x14ac:dyDescent="0.25">
      <c r="B8" t="s">
        <v>58</v>
      </c>
      <c r="C8" s="1">
        <f>C7</f>
        <v>47635936.793030888</v>
      </c>
      <c r="D8" s="1">
        <f>D7</f>
        <v>42674611.38201727</v>
      </c>
      <c r="E8" s="1">
        <f>D8-C8</f>
        <v>-4961325.4110136181</v>
      </c>
      <c r="F8" t="s">
        <v>62</v>
      </c>
      <c r="G8" s="1">
        <f>G7</f>
        <v>42674611.38201727</v>
      </c>
      <c r="H8" s="1">
        <f>G8-C8</f>
        <v>-4961325.4110136181</v>
      </c>
    </row>
    <row r="9" spans="2:8" x14ac:dyDescent="0.25">
      <c r="B9" t="s">
        <v>57</v>
      </c>
      <c r="C9" s="1">
        <v>0</v>
      </c>
      <c r="D9" s="1">
        <v>0</v>
      </c>
      <c r="E9" s="1">
        <f>D9-C9</f>
        <v>0</v>
      </c>
      <c r="F9" t="s">
        <v>54</v>
      </c>
      <c r="G9" s="1">
        <v>0</v>
      </c>
      <c r="H9" s="1">
        <f>G9-C9</f>
        <v>0</v>
      </c>
    </row>
    <row r="11" spans="2:8" x14ac:dyDescent="0.25">
      <c r="B11" s="3" t="s">
        <v>60</v>
      </c>
    </row>
    <row r="12" spans="2:8" x14ac:dyDescent="0.25">
      <c r="B12" t="s">
        <v>10</v>
      </c>
      <c r="C12" s="1">
        <f>'[2]Sch 141D from 2022 GRC'!$D$71</f>
        <v>2914764.6989022968</v>
      </c>
      <c r="D12" s="1">
        <f>'[2]TLNG Upgrade Rev Req'!$H$71</f>
        <v>2695735.1535510891</v>
      </c>
      <c r="E12" s="1">
        <f>D12-C12</f>
        <v>-219029.54535120772</v>
      </c>
      <c r="F12" t="s">
        <v>9</v>
      </c>
      <c r="G12" s="1">
        <f>'[2]TLNG Upgrade Rev Req'!$D$71</f>
        <v>2923945.5969997952</v>
      </c>
      <c r="H12" s="1">
        <f>G12-C12</f>
        <v>9180.8980974983424</v>
      </c>
    </row>
    <row r="13" spans="2:8" x14ac:dyDescent="0.25">
      <c r="B13" t="s">
        <v>58</v>
      </c>
      <c r="C13" s="1">
        <f>C12-C14</f>
        <v>1799867.2015721682</v>
      </c>
      <c r="D13" s="1">
        <f>D12-D14</f>
        <v>798336.88897937606</v>
      </c>
      <c r="E13" s="1">
        <f>D13-C13</f>
        <v>-1001530.3125927921</v>
      </c>
      <c r="F13" t="s">
        <v>56</v>
      </c>
      <c r="G13" s="1">
        <f>G12-G14</f>
        <v>865920.98202926153</v>
      </c>
      <c r="H13" s="1">
        <f>G13-C13</f>
        <v>-933946.21954290662</v>
      </c>
    </row>
    <row r="14" spans="2:8" x14ac:dyDescent="0.25">
      <c r="B14" t="s">
        <v>57</v>
      </c>
      <c r="C14" s="1">
        <f>'Sch 141D As Filed'!F19</f>
        <v>1114897.4973301287</v>
      </c>
      <c r="D14" s="23">
        <f>'[4]Rate Spread (Sch. 141D)'!$F$22*D12</f>
        <v>1897398.2645717131</v>
      </c>
      <c r="E14" s="1">
        <f>D14-C14</f>
        <v>782500.76724158437</v>
      </c>
      <c r="F14" t="s">
        <v>55</v>
      </c>
      <c r="G14" s="23">
        <f>'[4]Rate Spread (Sch. 141D)'!$F$22*G12</f>
        <v>2058024.6149705336</v>
      </c>
      <c r="H14" s="1">
        <f>G14-C14</f>
        <v>943127.11764040496</v>
      </c>
    </row>
    <row r="16" spans="2:8" x14ac:dyDescent="0.25">
      <c r="B16" s="3" t="s">
        <v>61</v>
      </c>
    </row>
    <row r="17" spans="2:8" x14ac:dyDescent="0.25">
      <c r="B17" t="s">
        <v>10</v>
      </c>
      <c r="C17" s="1">
        <v>0</v>
      </c>
      <c r="D17" s="1">
        <v>0</v>
      </c>
      <c r="E17" s="1">
        <f>D17-C17</f>
        <v>0</v>
      </c>
      <c r="F17" t="s">
        <v>53</v>
      </c>
      <c r="G17" s="1">
        <v>0</v>
      </c>
      <c r="H17" s="1">
        <f t="shared" ref="H17" si="0">G17-C17</f>
        <v>0</v>
      </c>
    </row>
    <row r="18" spans="2:8" x14ac:dyDescent="0.25">
      <c r="B18" t="s">
        <v>58</v>
      </c>
      <c r="C18" s="1">
        <v>0</v>
      </c>
      <c r="D18" s="1">
        <f>[3]Refund!$I$6</f>
        <v>-2831454.4729572646</v>
      </c>
      <c r="E18" s="1">
        <f t="shared" ref="E18" si="1">D18-C18</f>
        <v>-2831454.4729572646</v>
      </c>
      <c r="F18" t="s">
        <v>51</v>
      </c>
      <c r="G18" s="1">
        <f>[3]Refund!$G$6</f>
        <v>-2739250.5410405048</v>
      </c>
      <c r="H18" s="1">
        <f t="shared" ref="H18" si="2">G18-C18</f>
        <v>-2739250.5410405048</v>
      </c>
    </row>
    <row r="19" spans="2:8" x14ac:dyDescent="0.25">
      <c r="B19" t="s">
        <v>57</v>
      </c>
      <c r="C19" s="1">
        <f>C17-C18</f>
        <v>0</v>
      </c>
      <c r="D19" s="1">
        <f>D17-D18</f>
        <v>2831454.4729572646</v>
      </c>
      <c r="E19" s="1">
        <f>D19-C19</f>
        <v>2831454.4729572646</v>
      </c>
      <c r="F19" t="s">
        <v>52</v>
      </c>
      <c r="G19" s="1">
        <f>G17-G18</f>
        <v>2739250.5410405048</v>
      </c>
      <c r="H19" s="1">
        <f t="shared" ref="H19" si="3">G19-C19</f>
        <v>2739250.5410405048</v>
      </c>
    </row>
    <row r="29" spans="2:8" x14ac:dyDescent="0.25">
      <c r="C29" s="22">
        <f>C8+C9-C7</f>
        <v>0</v>
      </c>
      <c r="D29" s="22">
        <f>D8+D9-D7</f>
        <v>0</v>
      </c>
      <c r="E29" s="22">
        <f>E8+E9-E7</f>
        <v>0</v>
      </c>
      <c r="F29" s="22"/>
      <c r="G29" s="22">
        <f>G8+G9-G7</f>
        <v>0</v>
      </c>
      <c r="H29" s="22">
        <f>H8+H9-H7</f>
        <v>0</v>
      </c>
    </row>
    <row r="30" spans="2:8" x14ac:dyDescent="0.25">
      <c r="C30" s="22">
        <f>C13+C14-C12</f>
        <v>0</v>
      </c>
      <c r="D30" s="22">
        <f>D13+D14-D12</f>
        <v>0</v>
      </c>
      <c r="E30" s="22">
        <f>E13+E14-E12</f>
        <v>0</v>
      </c>
      <c r="F30" s="22"/>
      <c r="G30" s="22">
        <f>G13+G14-G12</f>
        <v>0</v>
      </c>
      <c r="H30" s="22">
        <f>H13+H14-H12</f>
        <v>0</v>
      </c>
    </row>
    <row r="31" spans="2:8" x14ac:dyDescent="0.25">
      <c r="C31" s="22">
        <f>C19+C18-C17</f>
        <v>0</v>
      </c>
      <c r="D31" s="22">
        <f>D19+D18-D17</f>
        <v>0</v>
      </c>
      <c r="E31" s="22">
        <f>E19+E18-E17</f>
        <v>0</v>
      </c>
      <c r="F31" s="22"/>
      <c r="G31" s="22">
        <f>G19+G18-G17</f>
        <v>0</v>
      </c>
      <c r="H31" s="22">
        <f>H19+H18-H17</f>
        <v>0</v>
      </c>
    </row>
  </sheetData>
  <pageMargins left="0.2" right="0.2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="90" zoomScaleNormal="90" workbookViewId="0">
      <selection activeCell="F19" sqref="F19"/>
    </sheetView>
  </sheetViews>
  <sheetFormatPr defaultColWidth="9.140625" defaultRowHeight="12.75" x14ac:dyDescent="0.2"/>
  <cols>
    <col min="1" max="1" width="4.42578125" style="5" customWidth="1"/>
    <col min="2" max="2" width="31.28515625" style="5" customWidth="1"/>
    <col min="3" max="3" width="11.5703125" style="5" customWidth="1"/>
    <col min="4" max="5" width="14.7109375" style="5" customWidth="1"/>
    <col min="6" max="6" width="17.85546875" style="5" customWidth="1"/>
    <col min="7" max="7" width="12.42578125" style="5" bestFit="1" customWidth="1"/>
    <col min="8" max="8" width="14.140625" style="5" bestFit="1" customWidth="1"/>
    <col min="9" max="16384" width="9.140625" style="5"/>
  </cols>
  <sheetData>
    <row r="1" spans="1:8" ht="12.75" customHeight="1" x14ac:dyDescent="0.2">
      <c r="A1" s="20" t="s">
        <v>50</v>
      </c>
    </row>
    <row r="2" spans="1:8" ht="12.75" customHeight="1" x14ac:dyDescent="0.2">
      <c r="A2" s="20" t="s">
        <v>49</v>
      </c>
      <c r="B2" s="8"/>
      <c r="C2" s="8"/>
      <c r="D2" s="8"/>
      <c r="E2" s="8"/>
      <c r="F2" s="8"/>
    </row>
    <row r="3" spans="1:8" ht="12.75" customHeight="1" x14ac:dyDescent="0.2">
      <c r="A3" s="20" t="s">
        <v>48</v>
      </c>
    </row>
    <row r="4" spans="1:8" ht="12.75" customHeight="1" x14ac:dyDescent="0.2">
      <c r="A4" s="20" t="s">
        <v>47</v>
      </c>
    </row>
    <row r="5" spans="1:8" ht="12.75" customHeight="1" x14ac:dyDescent="0.2">
      <c r="A5" s="20"/>
    </row>
    <row r="6" spans="1:8" ht="12.75" customHeight="1" x14ac:dyDescent="0.2"/>
    <row r="7" spans="1:8" ht="12.75" customHeight="1" x14ac:dyDescent="0.2">
      <c r="A7" s="20"/>
      <c r="B7" s="20"/>
      <c r="C7" s="20"/>
      <c r="D7" s="19" t="s">
        <v>46</v>
      </c>
      <c r="E7" s="19" t="s">
        <v>46</v>
      </c>
      <c r="F7" s="19" t="s">
        <v>45</v>
      </c>
    </row>
    <row r="8" spans="1:8" ht="12.75" customHeight="1" x14ac:dyDescent="0.2">
      <c r="A8" s="20"/>
      <c r="B8" s="19"/>
      <c r="C8" s="19"/>
      <c r="D8" s="19" t="s">
        <v>38</v>
      </c>
      <c r="E8" s="19" t="s">
        <v>38</v>
      </c>
      <c r="F8" s="19" t="s">
        <v>41</v>
      </c>
      <c r="G8" s="19" t="s">
        <v>44</v>
      </c>
      <c r="H8" s="19" t="s">
        <v>43</v>
      </c>
    </row>
    <row r="9" spans="1:8" ht="12.75" customHeight="1" x14ac:dyDescent="0.2">
      <c r="A9" s="19" t="s">
        <v>42</v>
      </c>
      <c r="B9" s="19"/>
      <c r="C9" s="19"/>
      <c r="D9" s="19" t="s">
        <v>41</v>
      </c>
      <c r="E9" s="19" t="s">
        <v>40</v>
      </c>
      <c r="F9" s="19" t="s">
        <v>34</v>
      </c>
      <c r="G9" s="19" t="s">
        <v>39</v>
      </c>
      <c r="H9" s="19" t="s">
        <v>38</v>
      </c>
    </row>
    <row r="10" spans="1:8" ht="12.75" customHeight="1" x14ac:dyDescent="0.2">
      <c r="A10" s="18" t="s">
        <v>37</v>
      </c>
      <c r="B10" s="18" t="s">
        <v>36</v>
      </c>
      <c r="C10" s="18" t="s">
        <v>35</v>
      </c>
      <c r="D10" s="18" t="s">
        <v>34</v>
      </c>
      <c r="E10" s="18" t="s">
        <v>33</v>
      </c>
      <c r="F10" s="18" t="s">
        <v>32</v>
      </c>
      <c r="G10" s="18" t="s">
        <v>31</v>
      </c>
      <c r="H10" s="18" t="s">
        <v>30</v>
      </c>
    </row>
    <row r="11" spans="1:8" ht="12.75" customHeight="1" x14ac:dyDescent="0.2">
      <c r="B11" s="8" t="s">
        <v>29</v>
      </c>
      <c r="C11" s="8" t="s">
        <v>28</v>
      </c>
      <c r="D11" s="8" t="s">
        <v>27</v>
      </c>
      <c r="E11" s="8" t="s">
        <v>26</v>
      </c>
      <c r="F11" s="8" t="s">
        <v>25</v>
      </c>
      <c r="G11" s="8" t="s">
        <v>24</v>
      </c>
      <c r="H11" s="8" t="s">
        <v>23</v>
      </c>
    </row>
    <row r="12" spans="1:8" x14ac:dyDescent="0.2">
      <c r="A12" s="8">
        <v>1</v>
      </c>
      <c r="B12" s="5" t="s">
        <v>22</v>
      </c>
      <c r="C12" s="8" t="s">
        <v>21</v>
      </c>
      <c r="D12" s="17">
        <v>2016093.3139364917</v>
      </c>
      <c r="E12" s="13">
        <f t="shared" ref="E12:E18" si="0">D12/$D$20</f>
        <v>0.69168304209796216</v>
      </c>
      <c r="F12" s="11"/>
      <c r="G12" s="11">
        <f t="shared" ref="G12:G18" si="1">($D$20-$F$20)*E12</f>
        <v>1244937.6213557837</v>
      </c>
      <c r="H12" s="11">
        <f t="shared" ref="H12:H19" si="2">G12+F12</f>
        <v>1244937.6213557837</v>
      </c>
    </row>
    <row r="13" spans="1:8" x14ac:dyDescent="0.2">
      <c r="A13" s="8">
        <f t="shared" ref="A13:A22" si="3">A12+1</f>
        <v>2</v>
      </c>
      <c r="B13" s="5" t="s">
        <v>20</v>
      </c>
      <c r="C13" s="8">
        <v>31</v>
      </c>
      <c r="D13" s="17">
        <v>710343.28746178711</v>
      </c>
      <c r="E13" s="13">
        <f t="shared" si="0"/>
        <v>0.2437051909299241</v>
      </c>
      <c r="F13" s="11"/>
      <c r="G13" s="11">
        <f t="shared" si="1"/>
        <v>438636.98000765353</v>
      </c>
      <c r="H13" s="11">
        <f t="shared" si="2"/>
        <v>438636.98000765353</v>
      </c>
    </row>
    <row r="14" spans="1:8" x14ac:dyDescent="0.2">
      <c r="A14" s="8">
        <f t="shared" si="3"/>
        <v>3</v>
      </c>
      <c r="B14" s="5" t="s">
        <v>19</v>
      </c>
      <c r="C14" s="8">
        <v>41</v>
      </c>
      <c r="D14" s="17">
        <v>147397.23749979044</v>
      </c>
      <c r="E14" s="13">
        <f t="shared" si="0"/>
        <v>5.0569172034813085E-2</v>
      </c>
      <c r="F14" s="11"/>
      <c r="G14" s="11">
        <f t="shared" si="1"/>
        <v>91017.794156120595</v>
      </c>
      <c r="H14" s="11">
        <f t="shared" si="2"/>
        <v>91017.794156120595</v>
      </c>
    </row>
    <row r="15" spans="1:8" x14ac:dyDescent="0.2">
      <c r="A15" s="8">
        <f t="shared" si="3"/>
        <v>4</v>
      </c>
      <c r="B15" s="5" t="s">
        <v>18</v>
      </c>
      <c r="C15" s="8">
        <v>85</v>
      </c>
      <c r="D15" s="17">
        <v>19894.587964952108</v>
      </c>
      <c r="E15" s="13">
        <f t="shared" si="0"/>
        <v>6.8254524876208448E-3</v>
      </c>
      <c r="F15" s="11"/>
      <c r="G15" s="11">
        <f t="shared" si="1"/>
        <v>12284.908068357927</v>
      </c>
      <c r="H15" s="11">
        <f t="shared" si="2"/>
        <v>12284.908068357927</v>
      </c>
    </row>
    <row r="16" spans="1:8" x14ac:dyDescent="0.2">
      <c r="A16" s="8">
        <f t="shared" si="3"/>
        <v>5</v>
      </c>
      <c r="B16" s="5" t="s">
        <v>17</v>
      </c>
      <c r="C16" s="8">
        <v>86</v>
      </c>
      <c r="D16" s="17">
        <v>2696.3070268991123</v>
      </c>
      <c r="E16" s="13">
        <f t="shared" si="0"/>
        <v>9.2505135248637524E-4</v>
      </c>
      <c r="F16" s="11"/>
      <c r="G16" s="11">
        <f t="shared" si="1"/>
        <v>1664.9695891102019</v>
      </c>
      <c r="H16" s="11">
        <f t="shared" si="2"/>
        <v>1664.9695891102019</v>
      </c>
    </row>
    <row r="17" spans="1:8" x14ac:dyDescent="0.2">
      <c r="A17" s="8">
        <f t="shared" si="3"/>
        <v>6</v>
      </c>
      <c r="B17" s="5" t="s">
        <v>16</v>
      </c>
      <c r="C17" s="8">
        <v>87</v>
      </c>
      <c r="D17" s="17">
        <v>16901.068739540333</v>
      </c>
      <c r="E17" s="13">
        <f t="shared" si="0"/>
        <v>5.7984333163858095E-3</v>
      </c>
      <c r="F17" s="11"/>
      <c r="G17" s="11">
        <f t="shared" si="1"/>
        <v>10436.409946666156</v>
      </c>
      <c r="H17" s="11">
        <f t="shared" si="2"/>
        <v>10436.409946666156</v>
      </c>
    </row>
    <row r="18" spans="1:8" x14ac:dyDescent="0.2">
      <c r="A18" s="8">
        <f t="shared" si="3"/>
        <v>7</v>
      </c>
      <c r="B18" s="5" t="s">
        <v>15</v>
      </c>
      <c r="C18" s="8"/>
      <c r="D18" s="17">
        <v>1438.8962728365686</v>
      </c>
      <c r="E18" s="13">
        <f t="shared" si="0"/>
        <v>4.9365778080764401E-4</v>
      </c>
      <c r="F18" s="11"/>
      <c r="G18" s="11">
        <f t="shared" si="1"/>
        <v>888.51844847658128</v>
      </c>
      <c r="H18" s="11">
        <f t="shared" si="2"/>
        <v>888.51844847658128</v>
      </c>
    </row>
    <row r="19" spans="1:8" x14ac:dyDescent="0.2">
      <c r="A19" s="8">
        <f t="shared" si="3"/>
        <v>8</v>
      </c>
      <c r="B19" s="5" t="s">
        <v>14</v>
      </c>
      <c r="C19" s="8" t="s">
        <v>11</v>
      </c>
      <c r="D19" s="16"/>
      <c r="E19" s="15"/>
      <c r="F19" s="14">
        <f>D20*F22</f>
        <v>1114897.4973301287</v>
      </c>
      <c r="G19" s="14"/>
      <c r="H19" s="11">
        <f t="shared" si="2"/>
        <v>1114897.4973301287</v>
      </c>
    </row>
    <row r="20" spans="1:8" x14ac:dyDescent="0.2">
      <c r="A20" s="8">
        <f t="shared" si="3"/>
        <v>9</v>
      </c>
      <c r="B20" s="5" t="s">
        <v>13</v>
      </c>
      <c r="D20" s="12">
        <f>SUM(D12:D19)</f>
        <v>2914764.6989022973</v>
      </c>
      <c r="E20" s="13">
        <f>SUM(E12:E19)</f>
        <v>1</v>
      </c>
      <c r="F20" s="12">
        <f>SUM(F12:F19)</f>
        <v>1114897.4973301287</v>
      </c>
      <c r="G20" s="11">
        <f>SUM(G12:G19)</f>
        <v>1799867.2015721689</v>
      </c>
      <c r="H20" s="10">
        <f>SUM(H12:H19)</f>
        <v>2914764.6989022978</v>
      </c>
    </row>
    <row r="21" spans="1:8" x14ac:dyDescent="0.2">
      <c r="A21" s="8">
        <f t="shared" si="3"/>
        <v>10</v>
      </c>
      <c r="F21" s="9"/>
    </row>
    <row r="22" spans="1:8" x14ac:dyDescent="0.2">
      <c r="A22" s="8">
        <f t="shared" si="3"/>
        <v>11</v>
      </c>
      <c r="E22" s="7" t="s">
        <v>12</v>
      </c>
      <c r="F22" s="6">
        <v>0.38250000000000001</v>
      </c>
    </row>
  </sheetData>
  <printOptions horizontalCentered="1"/>
  <pageMargins left="0.45" right="0.45" top="0.75" bottom="0.75" header="0.3" footer="0.3"/>
  <pageSetup orientation="landscape" blackAndWhite="1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pane xSplit="3" ySplit="7" topLeftCell="D8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RowHeight="12.75" x14ac:dyDescent="0.2"/>
  <cols>
    <col min="1" max="1" width="3.28515625" style="29" customWidth="1"/>
    <col min="2" max="2" width="9.140625" style="29"/>
    <col min="3" max="3" width="70.28515625" style="29" bestFit="1" customWidth="1"/>
    <col min="4" max="4" width="13.7109375" style="29" bestFit="1" customWidth="1"/>
    <col min="5" max="5" width="6.85546875" style="29" bestFit="1" customWidth="1"/>
    <col min="6" max="6" width="12.5703125" style="29" bestFit="1" customWidth="1"/>
    <col min="7" max="8" width="13.42578125" style="29" bestFit="1" customWidth="1"/>
    <col min="9" max="9" width="9.140625" style="29"/>
    <col min="10" max="10" width="15" style="29" customWidth="1"/>
    <col min="11" max="11" width="9.140625" style="29"/>
    <col min="12" max="13" width="11.28515625" style="29" bestFit="1" customWidth="1"/>
    <col min="14" max="14" width="9.140625" style="29"/>
    <col min="15" max="15" width="12.28515625" style="29" bestFit="1" customWidth="1"/>
    <col min="16" max="16384" width="9.140625" style="29"/>
  </cols>
  <sheetData>
    <row r="1" spans="2:16" ht="15" x14ac:dyDescent="0.25">
      <c r="B1" s="24" t="s">
        <v>50</v>
      </c>
      <c r="C1" s="25"/>
      <c r="D1" s="26">
        <f>SUM(D3:J3)</f>
        <v>0</v>
      </c>
      <c r="E1" s="27"/>
      <c r="F1" s="28"/>
      <c r="G1" s="28"/>
      <c r="H1" s="27"/>
      <c r="I1" s="27"/>
      <c r="J1" s="25"/>
    </row>
    <row r="2" spans="2:16" ht="15.75" thickBot="1" x14ac:dyDescent="0.3">
      <c r="B2" s="24" t="s">
        <v>64</v>
      </c>
      <c r="C2" s="25"/>
      <c r="D2" s="30"/>
      <c r="E2" s="31"/>
      <c r="F2" s="31"/>
      <c r="G2" s="31"/>
      <c r="H2" s="31"/>
      <c r="I2" s="31"/>
      <c r="J2" s="32"/>
    </row>
    <row r="3" spans="2:16" ht="15.75" thickBot="1" x14ac:dyDescent="0.3">
      <c r="B3" s="24" t="s">
        <v>65</v>
      </c>
      <c r="C3" s="25"/>
      <c r="D3" s="33">
        <f>D16</f>
        <v>0</v>
      </c>
      <c r="E3" s="34"/>
      <c r="F3" s="26">
        <f>F16</f>
        <v>0</v>
      </c>
      <c r="G3" s="26">
        <f>G16</f>
        <v>0</v>
      </c>
      <c r="H3" s="26">
        <f>H16</f>
        <v>0</v>
      </c>
      <c r="I3" s="34"/>
      <c r="J3" s="26">
        <f>J16</f>
        <v>0</v>
      </c>
    </row>
    <row r="4" spans="2:16" ht="15" x14ac:dyDescent="0.25">
      <c r="B4" s="24" t="s">
        <v>66</v>
      </c>
      <c r="C4" s="25"/>
      <c r="D4" s="35"/>
      <c r="E4" s="34"/>
      <c r="F4" s="34"/>
      <c r="G4" s="34"/>
      <c r="H4" s="34"/>
      <c r="I4" s="34"/>
      <c r="J4" s="36"/>
    </row>
    <row r="5" spans="2:16" ht="15" x14ac:dyDescent="0.25">
      <c r="B5" s="24"/>
      <c r="C5" s="25"/>
      <c r="D5" s="37" t="s">
        <v>67</v>
      </c>
      <c r="E5" s="38"/>
      <c r="F5" s="38"/>
      <c r="G5" s="38"/>
      <c r="H5" s="38"/>
      <c r="I5" s="38"/>
      <c r="J5" s="39"/>
    </row>
    <row r="6" spans="2:16" ht="15" x14ac:dyDescent="0.25">
      <c r="B6" s="24"/>
      <c r="C6" s="25"/>
      <c r="D6" s="35"/>
      <c r="E6" s="27"/>
      <c r="F6" s="34"/>
      <c r="G6" s="40"/>
      <c r="H6" s="34"/>
      <c r="I6" s="27"/>
      <c r="J6" s="36"/>
      <c r="L6" s="41"/>
      <c r="M6" s="42"/>
    </row>
    <row r="7" spans="2:16" ht="15" x14ac:dyDescent="0.25">
      <c r="B7" s="25"/>
      <c r="C7" s="25"/>
      <c r="D7" s="35"/>
      <c r="E7" s="43">
        <v>7.1599999999999997E-2</v>
      </c>
      <c r="F7" s="34"/>
      <c r="G7" s="43">
        <v>2.5499999999999998E-2</v>
      </c>
      <c r="H7" s="34"/>
      <c r="I7" s="27"/>
      <c r="J7" s="36"/>
    </row>
    <row r="8" spans="2:16" ht="60" x14ac:dyDescent="0.2">
      <c r="B8" s="44" t="s">
        <v>68</v>
      </c>
      <c r="C8" s="44" t="s">
        <v>69</v>
      </c>
      <c r="D8" s="45" t="s">
        <v>70</v>
      </c>
      <c r="E8" s="44" t="s">
        <v>71</v>
      </c>
      <c r="F8" s="44" t="s">
        <v>72</v>
      </c>
      <c r="G8" s="46" t="s">
        <v>73</v>
      </c>
      <c r="H8" s="47" t="s">
        <v>74</v>
      </c>
      <c r="I8" s="47" t="s">
        <v>75</v>
      </c>
      <c r="J8" s="48" t="s">
        <v>76</v>
      </c>
      <c r="L8" s="49" t="s">
        <v>77</v>
      </c>
      <c r="M8" s="50" t="s">
        <v>78</v>
      </c>
      <c r="N8" s="49"/>
      <c r="O8" s="49"/>
    </row>
    <row r="9" spans="2:16" ht="15" x14ac:dyDescent="0.25">
      <c r="B9" s="51">
        <f>ROW()</f>
        <v>9</v>
      </c>
      <c r="C9" s="52" t="s">
        <v>79</v>
      </c>
      <c r="D9" s="53">
        <f>'[1]Summary '!$F$21</f>
        <v>238981094.97342265</v>
      </c>
      <c r="E9" s="54"/>
      <c r="F9" s="55">
        <f>D9*$E$7</f>
        <v>17111046.400097061</v>
      </c>
      <c r="G9" s="55">
        <f>SUM('[1]Summary '!$F$29:$F$32)</f>
        <v>-18769341.547086462</v>
      </c>
      <c r="H9" s="55">
        <f>F9-G9</f>
        <v>35880387.94718352</v>
      </c>
      <c r="I9" s="56">
        <v>0.75322100000000003</v>
      </c>
      <c r="J9" s="57">
        <f>H9/$I$9</f>
        <v>47635936.793030888</v>
      </c>
      <c r="L9" s="58">
        <f>'[1]Summary '!$F$36-J9</f>
        <v>0</v>
      </c>
      <c r="N9" s="58"/>
      <c r="O9" s="58"/>
    </row>
    <row r="10" spans="2:16" ht="15" x14ac:dyDescent="0.25">
      <c r="B10" s="51">
        <f>ROW()</f>
        <v>10</v>
      </c>
      <c r="C10" s="56" t="s">
        <v>80</v>
      </c>
      <c r="D10" s="59"/>
      <c r="E10" s="60"/>
      <c r="F10" s="61"/>
      <c r="G10" s="40"/>
      <c r="H10" s="61">
        <f>+F10-G10</f>
        <v>0</v>
      </c>
      <c r="I10" s="62">
        <f>'[2]Gas Conv Factor'!$F$24</f>
        <v>0.75243099999999996</v>
      </c>
      <c r="J10" s="63">
        <f>H9/I10-J9</f>
        <v>50014.406724996865</v>
      </c>
      <c r="L10" s="58"/>
      <c r="N10" s="58"/>
      <c r="O10" s="58"/>
    </row>
    <row r="11" spans="2:16" ht="15" x14ac:dyDescent="0.25">
      <c r="B11" s="51">
        <f>ROW()</f>
        <v>11</v>
      </c>
      <c r="C11" s="56" t="s">
        <v>81</v>
      </c>
      <c r="D11" s="59">
        <f>'[1]Summary '!$G$10</f>
        <v>-404578.97470495105</v>
      </c>
      <c r="E11" s="60"/>
      <c r="F11" s="61">
        <f>D11*$E$7</f>
        <v>-28967.854588874492</v>
      </c>
      <c r="G11" s="40">
        <f>'[1]Summary '!$G$30+D11*$G$7*0.21</f>
        <v>8960.035950481808</v>
      </c>
      <c r="H11" s="61">
        <f>+F11-G11</f>
        <v>-37927.890539356304</v>
      </c>
      <c r="I11" s="62"/>
      <c r="J11" s="63">
        <f>H11/$I$10</f>
        <v>-50407.134394192035</v>
      </c>
      <c r="L11" s="58"/>
      <c r="N11" s="58"/>
      <c r="O11" s="58"/>
    </row>
    <row r="12" spans="2:16" ht="15" x14ac:dyDescent="0.25">
      <c r="B12" s="51">
        <f>ROW()</f>
        <v>12</v>
      </c>
      <c r="C12" s="56" t="s">
        <v>82</v>
      </c>
      <c r="D12" s="59">
        <f>'[1]Summary '!$G$19</f>
        <v>-16631.883725667372</v>
      </c>
      <c r="E12" s="60"/>
      <c r="F12" s="61">
        <f>D12*$E$7</f>
        <v>-1190.8428747577839</v>
      </c>
      <c r="G12" s="40">
        <f>+D12*$G$7*0.21</f>
        <v>-89.06373735094877</v>
      </c>
      <c r="H12" s="61">
        <f>+F12-G12</f>
        <v>-1101.7791374068352</v>
      </c>
      <c r="I12" s="62"/>
      <c r="J12" s="63">
        <f>H12/$I$10</f>
        <v>-1464.292589495695</v>
      </c>
      <c r="L12" s="58"/>
      <c r="N12" s="58"/>
      <c r="O12" s="58"/>
    </row>
    <row r="13" spans="2:16" ht="15" x14ac:dyDescent="0.25">
      <c r="B13" s="51">
        <f>ROW()</f>
        <v>13</v>
      </c>
      <c r="C13" s="56" t="s">
        <v>83</v>
      </c>
      <c r="D13" s="59">
        <v>0</v>
      </c>
      <c r="E13" s="60"/>
      <c r="F13" s="61">
        <f>D13*$E$7</f>
        <v>0</v>
      </c>
      <c r="G13" s="40">
        <f>'[1]Summary '!$G$31</f>
        <v>3731657.7607241264</v>
      </c>
      <c r="H13" s="61">
        <f>+F13-G13</f>
        <v>-3731657.7607241264</v>
      </c>
      <c r="I13" s="62"/>
      <c r="J13" s="63">
        <f>H13/$I$10</f>
        <v>-4959468.3907549353</v>
      </c>
      <c r="L13" s="58">
        <f>G26-G13</f>
        <v>0.23927587363868952</v>
      </c>
      <c r="N13" s="58"/>
      <c r="O13" s="58"/>
    </row>
    <row r="14" spans="2:16" ht="15" x14ac:dyDescent="0.25">
      <c r="B14" s="51">
        <f>ROW()</f>
        <v>14</v>
      </c>
      <c r="C14" s="56" t="s">
        <v>84</v>
      </c>
      <c r="D14" s="64">
        <f>SUM(D9:D13)</f>
        <v>238559884.11499202</v>
      </c>
      <c r="E14" s="65"/>
      <c r="F14" s="66">
        <f>SUM(F9:F13)</f>
        <v>17080887.702633429</v>
      </c>
      <c r="G14" s="66">
        <f>SUM(G9:G13)</f>
        <v>-15028812.814149205</v>
      </c>
      <c r="H14" s="66">
        <f>SUM(H9:H13)</f>
        <v>32109700.516782627</v>
      </c>
      <c r="I14" s="67"/>
      <c r="J14" s="68">
        <f>SUM(J9:J13)</f>
        <v>42674611.382017262</v>
      </c>
      <c r="L14" s="58"/>
      <c r="N14" s="58"/>
      <c r="O14" s="58"/>
    </row>
    <row r="15" spans="2:16" ht="15" x14ac:dyDescent="0.25">
      <c r="B15" s="51">
        <f>ROW()</f>
        <v>15</v>
      </c>
      <c r="C15" s="25" t="s">
        <v>85</v>
      </c>
      <c r="D15" s="53">
        <f>'[1]Summary '!$C$21</f>
        <v>238559884.11499202</v>
      </c>
      <c r="E15" s="54"/>
      <c r="F15" s="55">
        <f>'[1]Summary '!$C$26</f>
        <v>17080887.702633429</v>
      </c>
      <c r="G15" s="55">
        <f>SUM('[1]Summary '!$C$29:$C$32)</f>
        <v>-15028812.814149205</v>
      </c>
      <c r="H15" s="55">
        <f>'[1]Summary '!$C$33</f>
        <v>32109700.516782634</v>
      </c>
      <c r="I15" s="56"/>
      <c r="J15" s="57">
        <f>'[1]Summary '!$C$36</f>
        <v>42674611.38201727</v>
      </c>
      <c r="L15" s="69"/>
      <c r="M15" s="69"/>
      <c r="N15" s="58"/>
      <c r="O15" s="58"/>
      <c r="P15" s="58"/>
    </row>
    <row r="16" spans="2:16" ht="15" x14ac:dyDescent="0.25">
      <c r="B16" s="70">
        <f>ROW()</f>
        <v>16</v>
      </c>
      <c r="C16" s="25" t="s">
        <v>86</v>
      </c>
      <c r="D16" s="53">
        <f>ROUND(D14-D15,0)</f>
        <v>0</v>
      </c>
      <c r="E16" s="54"/>
      <c r="F16" s="55">
        <f>ROUND(F14-F15,0)</f>
        <v>0</v>
      </c>
      <c r="G16" s="55">
        <f>ROUND(G14-G15,0)</f>
        <v>0</v>
      </c>
      <c r="H16" s="55">
        <f>ROUND(H14-H15,0)</f>
        <v>0</v>
      </c>
      <c r="I16" s="56"/>
      <c r="J16" s="57">
        <f>ROUND(J14-J15,0)</f>
        <v>0</v>
      </c>
      <c r="N16" s="58"/>
      <c r="O16" s="58"/>
      <c r="P16" s="58"/>
    </row>
    <row r="17" spans="2:16" ht="15" x14ac:dyDescent="0.25">
      <c r="B17" s="25"/>
      <c r="C17" s="25"/>
      <c r="D17" s="71"/>
      <c r="E17" s="72"/>
      <c r="F17" s="72"/>
      <c r="G17" s="72"/>
      <c r="H17" s="72"/>
      <c r="I17" s="72"/>
      <c r="J17" s="73"/>
      <c r="N17" s="58"/>
      <c r="O17" s="58"/>
      <c r="P17" s="58"/>
    </row>
    <row r="21" spans="2:16" ht="15" x14ac:dyDescent="0.25">
      <c r="G21" s="40"/>
      <c r="J21" s="74"/>
    </row>
    <row r="22" spans="2:16" ht="15" x14ac:dyDescent="0.25">
      <c r="F22" s="75" t="s">
        <v>87</v>
      </c>
      <c r="G22" s="76">
        <v>18900000</v>
      </c>
    </row>
    <row r="23" spans="2:16" ht="15" x14ac:dyDescent="0.25">
      <c r="F23" s="75" t="s">
        <v>88</v>
      </c>
      <c r="G23" s="40">
        <f>G22/4</f>
        <v>4725000</v>
      </c>
    </row>
    <row r="24" spans="2:16" ht="15" x14ac:dyDescent="0.25">
      <c r="F24" s="75" t="s">
        <v>89</v>
      </c>
      <c r="G24" s="66">
        <f>G23*0.79</f>
        <v>3732750</v>
      </c>
    </row>
    <row r="25" spans="2:16" ht="15" x14ac:dyDescent="0.25">
      <c r="F25" s="75" t="s">
        <v>90</v>
      </c>
      <c r="G25" s="40">
        <v>-1092</v>
      </c>
    </row>
    <row r="26" spans="2:16" ht="15.75" thickBot="1" x14ac:dyDescent="0.3">
      <c r="G26" s="77">
        <f>SUM(G24:G25)</f>
        <v>3731658</v>
      </c>
    </row>
    <row r="27" spans="2:16" ht="13.5" thickTop="1" x14ac:dyDescent="0.2"/>
  </sheetData>
  <conditionalFormatting sqref="H3">
    <cfRule type="expression" dxfId="47" priority="15">
      <formula>ISERROR(H3)</formula>
    </cfRule>
  </conditionalFormatting>
  <conditionalFormatting sqref="H3">
    <cfRule type="expression" dxfId="46" priority="22">
      <formula>ISERROR(H3)</formula>
    </cfRule>
  </conditionalFormatting>
  <conditionalFormatting sqref="F3">
    <cfRule type="expression" dxfId="45" priority="14">
      <formula>ISERROR(F3)</formula>
    </cfRule>
  </conditionalFormatting>
  <conditionalFormatting sqref="D3">
    <cfRule type="expression" dxfId="44" priority="21">
      <formula>ISERROR(D3)</formula>
    </cfRule>
  </conditionalFormatting>
  <conditionalFormatting sqref="D3 F3:H3">
    <cfRule type="cellIs" dxfId="43" priority="23" operator="equal">
      <formula>0</formula>
    </cfRule>
    <cfRule type="cellIs" dxfId="42" priority="24" operator="notEqual">
      <formula>0</formula>
    </cfRule>
  </conditionalFormatting>
  <conditionalFormatting sqref="F3">
    <cfRule type="expression" dxfId="41" priority="13">
      <formula>ISERROR(F3)</formula>
    </cfRule>
  </conditionalFormatting>
  <conditionalFormatting sqref="F3">
    <cfRule type="expression" dxfId="40" priority="20">
      <formula>ISERROR(F3)</formula>
    </cfRule>
  </conditionalFormatting>
  <conditionalFormatting sqref="G3">
    <cfRule type="expression" dxfId="39" priority="19">
      <formula>ISERROR(G3)</formula>
    </cfRule>
  </conditionalFormatting>
  <conditionalFormatting sqref="F3">
    <cfRule type="expression" dxfId="38" priority="18">
      <formula>ISERROR(F3)</formula>
    </cfRule>
  </conditionalFormatting>
  <conditionalFormatting sqref="G3">
    <cfRule type="expression" dxfId="37" priority="17">
      <formula>ISERROR(G3)</formula>
    </cfRule>
  </conditionalFormatting>
  <conditionalFormatting sqref="H3">
    <cfRule type="expression" dxfId="36" priority="16">
      <formula>ISERROR(H3)</formula>
    </cfRule>
  </conditionalFormatting>
  <conditionalFormatting sqref="D1">
    <cfRule type="expression" dxfId="35" priority="10">
      <formula>ISERROR(D1)</formula>
    </cfRule>
  </conditionalFormatting>
  <conditionalFormatting sqref="D1">
    <cfRule type="expression" dxfId="34" priority="9">
      <formula>ISERROR(D1)</formula>
    </cfRule>
  </conditionalFormatting>
  <conditionalFormatting sqref="D1">
    <cfRule type="cellIs" dxfId="33" priority="11" operator="equal">
      <formula>0</formula>
    </cfRule>
    <cfRule type="cellIs" dxfId="32" priority="12" operator="notEqual">
      <formula>0</formula>
    </cfRule>
  </conditionalFormatting>
  <conditionalFormatting sqref="D1">
    <cfRule type="expression" dxfId="31" priority="8">
      <formula>ISERROR(D1)</formula>
    </cfRule>
  </conditionalFormatting>
  <conditionalFormatting sqref="D1">
    <cfRule type="expression" dxfId="30" priority="7">
      <formula>ISERROR(D1)</formula>
    </cfRule>
  </conditionalFormatting>
  <conditionalFormatting sqref="J3">
    <cfRule type="expression" dxfId="29" priority="3">
      <formula>ISERROR(J3)</formula>
    </cfRule>
  </conditionalFormatting>
  <conditionalFormatting sqref="J3">
    <cfRule type="expression" dxfId="28" priority="2">
      <formula>ISERROR(J3)</formula>
    </cfRule>
  </conditionalFormatting>
  <conditionalFormatting sqref="J3">
    <cfRule type="expression" dxfId="27" priority="1">
      <formula>ISERROR(J3)</formula>
    </cfRule>
  </conditionalFormatting>
  <conditionalFormatting sqref="J3">
    <cfRule type="cellIs" dxfId="26" priority="5" operator="equal">
      <formula>0</formula>
    </cfRule>
    <cfRule type="cellIs" dxfId="25" priority="6" operator="notEqual">
      <formula>0</formula>
    </cfRule>
  </conditionalFormatting>
  <conditionalFormatting sqref="J3">
    <cfRule type="expression" dxfId="24" priority="4">
      <formula>ISERROR(J3)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pane xSplit="3" ySplit="7" topLeftCell="D8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RowHeight="12.75" x14ac:dyDescent="0.2"/>
  <cols>
    <col min="1" max="1" width="3.28515625" style="29" customWidth="1"/>
    <col min="2" max="2" width="9.140625" style="29"/>
    <col min="3" max="3" width="63" style="29" bestFit="1" customWidth="1"/>
    <col min="4" max="4" width="12.5703125" style="29" bestFit="1" customWidth="1"/>
    <col min="5" max="5" width="6.85546875" style="29" bestFit="1" customWidth="1"/>
    <col min="6" max="6" width="11.5703125" style="29" bestFit="1" customWidth="1"/>
    <col min="7" max="8" width="12.28515625" style="29" bestFit="1" customWidth="1"/>
    <col min="9" max="9" width="9.140625" style="29"/>
    <col min="10" max="10" width="15" style="29" customWidth="1"/>
    <col min="11" max="11" width="9.140625" style="29"/>
    <col min="12" max="13" width="11.28515625" style="29" bestFit="1" customWidth="1"/>
    <col min="14" max="14" width="9.140625" style="29"/>
    <col min="15" max="15" width="12.28515625" style="29" bestFit="1" customWidth="1"/>
    <col min="16" max="16384" width="9.140625" style="29"/>
  </cols>
  <sheetData>
    <row r="1" spans="2:17" ht="15" x14ac:dyDescent="0.25">
      <c r="B1" s="24" t="s">
        <v>50</v>
      </c>
      <c r="C1" s="25"/>
      <c r="D1" s="26">
        <f>SUM(D3:J3)</f>
        <v>0</v>
      </c>
      <c r="E1" s="27"/>
      <c r="F1" s="28"/>
      <c r="G1" s="28"/>
      <c r="H1" s="27"/>
      <c r="I1" s="27"/>
      <c r="J1" s="25"/>
    </row>
    <row r="2" spans="2:17" ht="15.75" thickBot="1" x14ac:dyDescent="0.3">
      <c r="B2" s="24" t="s">
        <v>91</v>
      </c>
      <c r="C2" s="25"/>
      <c r="D2" s="30"/>
      <c r="E2" s="31"/>
      <c r="F2" s="31"/>
      <c r="G2" s="31"/>
      <c r="H2" s="31"/>
      <c r="I2" s="31"/>
      <c r="J2" s="32"/>
      <c r="L2" s="78" t="s">
        <v>92</v>
      </c>
      <c r="M2" s="78"/>
    </row>
    <row r="3" spans="2:17" ht="15.75" thickBot="1" x14ac:dyDescent="0.3">
      <c r="B3" s="24" t="s">
        <v>65</v>
      </c>
      <c r="C3" s="25"/>
      <c r="D3" s="33">
        <f>D16</f>
        <v>0</v>
      </c>
      <c r="E3" s="34"/>
      <c r="F3" s="26">
        <f>F16</f>
        <v>0</v>
      </c>
      <c r="G3" s="26">
        <f>G16</f>
        <v>0</v>
      </c>
      <c r="H3" s="26">
        <f>H16</f>
        <v>0</v>
      </c>
      <c r="I3" s="34"/>
      <c r="J3" s="26">
        <f>J16</f>
        <v>0</v>
      </c>
      <c r="L3" s="42">
        <v>0.61750000000000005</v>
      </c>
      <c r="M3" s="42">
        <v>0.38250000000000001</v>
      </c>
      <c r="N3" s="29" t="s">
        <v>0</v>
      </c>
    </row>
    <row r="4" spans="2:17" ht="15" x14ac:dyDescent="0.25">
      <c r="B4" s="24" t="s">
        <v>66</v>
      </c>
      <c r="C4" s="25"/>
      <c r="D4" s="35"/>
      <c r="E4" s="34"/>
      <c r="F4" s="34"/>
      <c r="G4" s="34"/>
      <c r="H4" s="34"/>
      <c r="I4" s="34"/>
      <c r="J4" s="36"/>
      <c r="L4" s="41">
        <v>0.29614811674942498</v>
      </c>
      <c r="M4" s="41">
        <v>0.70385188325057502</v>
      </c>
      <c r="N4" s="29" t="s">
        <v>93</v>
      </c>
    </row>
    <row r="5" spans="2:17" ht="15.75" thickBot="1" x14ac:dyDescent="0.3">
      <c r="B5" s="24"/>
      <c r="C5" s="25"/>
      <c r="D5" s="37" t="s">
        <v>67</v>
      </c>
      <c r="E5" s="38"/>
      <c r="F5" s="38"/>
      <c r="G5" s="38"/>
      <c r="H5" s="38"/>
      <c r="I5" s="38"/>
      <c r="J5" s="39"/>
      <c r="L5" s="79">
        <f>L3-L4</f>
        <v>0.32135188325057507</v>
      </c>
      <c r="M5" s="79">
        <f>M3-M4</f>
        <v>-0.32135188325057501</v>
      </c>
      <c r="N5" s="29" t="s">
        <v>1</v>
      </c>
    </row>
    <row r="6" spans="2:17" ht="15.75" thickTop="1" x14ac:dyDescent="0.25">
      <c r="B6" s="24"/>
      <c r="C6" s="25"/>
      <c r="D6" s="35"/>
      <c r="E6" s="27"/>
      <c r="F6" s="34"/>
      <c r="G6" s="40"/>
      <c r="H6" s="34"/>
      <c r="I6" s="27"/>
      <c r="J6" s="36"/>
      <c r="L6" s="41"/>
      <c r="M6" s="42"/>
    </row>
    <row r="7" spans="2:17" ht="15" x14ac:dyDescent="0.25">
      <c r="B7" s="25"/>
      <c r="C7" s="25"/>
      <c r="D7" s="35"/>
      <c r="E7" s="43">
        <v>7.1599999999999997E-2</v>
      </c>
      <c r="F7" s="34"/>
      <c r="G7" s="43">
        <v>2.5499999999999998E-2</v>
      </c>
      <c r="H7" s="34"/>
      <c r="I7" s="27"/>
      <c r="J7" s="36"/>
    </row>
    <row r="8" spans="2:17" ht="60" x14ac:dyDescent="0.2">
      <c r="B8" s="44" t="s">
        <v>68</v>
      </c>
      <c r="C8" s="44" t="s">
        <v>69</v>
      </c>
      <c r="D8" s="45" t="s">
        <v>70</v>
      </c>
      <c r="E8" s="44" t="s">
        <v>71</v>
      </c>
      <c r="F8" s="44" t="s">
        <v>72</v>
      </c>
      <c r="G8" s="46" t="s">
        <v>73</v>
      </c>
      <c r="H8" s="47" t="s">
        <v>74</v>
      </c>
      <c r="I8" s="47" t="s">
        <v>75</v>
      </c>
      <c r="J8" s="48" t="s">
        <v>76</v>
      </c>
      <c r="L8" s="80" t="s">
        <v>94</v>
      </c>
      <c r="M8" s="80" t="s">
        <v>11</v>
      </c>
      <c r="N8" s="49" t="s">
        <v>77</v>
      </c>
      <c r="O8" s="49" t="s">
        <v>77</v>
      </c>
      <c r="P8" s="49" t="s">
        <v>77</v>
      </c>
      <c r="Q8" s="50" t="s">
        <v>78</v>
      </c>
    </row>
    <row r="9" spans="2:17" ht="15" x14ac:dyDescent="0.25">
      <c r="B9" s="51">
        <f>ROW()</f>
        <v>9</v>
      </c>
      <c r="C9" s="52" t="s">
        <v>79</v>
      </c>
      <c r="D9" s="53">
        <f>'[2]Sch 141D from 2022 GRC'!$D$45</f>
        <v>23234769.474776886</v>
      </c>
      <c r="E9" s="54"/>
      <c r="F9" s="55">
        <f>D9*$E$7</f>
        <v>1663609.4943940251</v>
      </c>
      <c r="G9" s="55">
        <f>SUM('[2]Sch 141D from 2022 GRC'!$D$61:$D$64)</f>
        <v>-536457.81510212796</v>
      </c>
      <c r="H9" s="55">
        <f>F9-G9</f>
        <v>2200067.3094961531</v>
      </c>
      <c r="I9" s="56">
        <v>0.75480100000000006</v>
      </c>
      <c r="J9" s="57">
        <f>H9/$I$9</f>
        <v>2914764.6989022973</v>
      </c>
      <c r="L9" s="69">
        <f>'Summary Changes'!$C$13</f>
        <v>1799867.2015721682</v>
      </c>
      <c r="M9" s="69">
        <f>'Summary Changes'!$C$14</f>
        <v>1114897.4973301287</v>
      </c>
      <c r="N9" s="58">
        <f>'Summary Changes'!$C$13-L9</f>
        <v>0</v>
      </c>
      <c r="O9" s="58">
        <f>'Summary Changes'!$C$14-M9</f>
        <v>0</v>
      </c>
      <c r="P9" s="58"/>
    </row>
    <row r="10" spans="2:17" ht="15" x14ac:dyDescent="0.25">
      <c r="B10" s="51">
        <f>ROW()</f>
        <v>10</v>
      </c>
      <c r="C10" s="56" t="s">
        <v>80</v>
      </c>
      <c r="D10" s="59"/>
      <c r="E10" s="60"/>
      <c r="F10" s="61"/>
      <c r="G10" s="40"/>
      <c r="H10" s="61">
        <f>+F10-G10</f>
        <v>0</v>
      </c>
      <c r="I10" s="62">
        <f>'[2]Gas Conv Factor'!$F$24</f>
        <v>0.75243099999999996</v>
      </c>
      <c r="J10" s="63">
        <f>H9/I10-J9</f>
        <v>9180.8980974983424</v>
      </c>
      <c r="M10" s="81">
        <f>J10</f>
        <v>9180.8980974983424</v>
      </c>
      <c r="N10" s="58"/>
      <c r="O10" s="58">
        <f>'Summary Changes'!$H$12-J10</f>
        <v>0</v>
      </c>
      <c r="P10" s="58"/>
    </row>
    <row r="11" spans="2:17" ht="15" x14ac:dyDescent="0.25">
      <c r="B11" s="51">
        <f>ROW()</f>
        <v>11</v>
      </c>
      <c r="C11" s="56" t="s">
        <v>95</v>
      </c>
      <c r="D11" s="59">
        <v>0</v>
      </c>
      <c r="E11" s="60"/>
      <c r="F11" s="61">
        <f>D11*$E$7</f>
        <v>0</v>
      </c>
      <c r="G11" s="40">
        <v>0</v>
      </c>
      <c r="H11" s="61">
        <f>+F11-G11</f>
        <v>0</v>
      </c>
      <c r="I11" s="62"/>
      <c r="J11" s="63">
        <f>H11/$I$10</f>
        <v>0</v>
      </c>
      <c r="L11" s="69">
        <f>-SUM(J9:J10)*L5+Q11</f>
        <v>-933946.42411811138</v>
      </c>
      <c r="M11" s="69">
        <f>-SUM(J9:J10)*M5-Q11</f>
        <v>933946.42411811114</v>
      </c>
      <c r="N11" s="58">
        <f>'Summary Changes'!$H$13-L11</f>
        <v>0.20457520475611091</v>
      </c>
      <c r="O11" s="58">
        <f>'Summary Changes'!$H$14-'Summary Changes'!$H$12-M11</f>
        <v>-0.20457520452328026</v>
      </c>
      <c r="P11" s="58"/>
      <c r="Q11" s="82">
        <f>-(933946-939615)</f>
        <v>5669</v>
      </c>
    </row>
    <row r="12" spans="2:17" ht="15" x14ac:dyDescent="0.25">
      <c r="B12" s="51">
        <f>ROW()</f>
        <v>12</v>
      </c>
      <c r="C12" s="56" t="s">
        <v>84</v>
      </c>
      <c r="D12" s="64">
        <f>SUM(D9:D11)</f>
        <v>23234769.474776886</v>
      </c>
      <c r="E12" s="65"/>
      <c r="F12" s="66">
        <f t="shared" ref="F12:H12" si="0">SUM(F9:F11)</f>
        <v>1663609.4943940251</v>
      </c>
      <c r="G12" s="66">
        <f t="shared" si="0"/>
        <v>-536457.81510212796</v>
      </c>
      <c r="H12" s="66">
        <f t="shared" si="0"/>
        <v>2200067.3094961531</v>
      </c>
      <c r="I12" s="67"/>
      <c r="J12" s="68">
        <f>SUM(J9:J11)</f>
        <v>2923945.5969997956</v>
      </c>
      <c r="L12" s="83">
        <f>SUM(L9:L11)</f>
        <v>865920.77745405678</v>
      </c>
      <c r="M12" s="83">
        <f>SUM(M9:M11)</f>
        <v>2058024.8195457382</v>
      </c>
      <c r="N12" s="58">
        <f>'Summary Changes'!$G$13-L12</f>
        <v>0.20457520475611091</v>
      </c>
      <c r="O12" s="58">
        <f>'Summary Changes'!$G$14-M12</f>
        <v>-0.20457520452328026</v>
      </c>
      <c r="P12" s="58">
        <f>'Summary Changes'!$G$12-J12</f>
        <v>0</v>
      </c>
    </row>
    <row r="13" spans="2:17" ht="15" x14ac:dyDescent="0.25">
      <c r="B13" s="51">
        <f>ROW()</f>
        <v>13</v>
      </c>
      <c r="C13" s="56" t="s">
        <v>96</v>
      </c>
      <c r="D13" s="59">
        <f>'[2]TLNG Upgrade Rev Req'!$L$45</f>
        <v>-1927429.4634705745</v>
      </c>
      <c r="E13" s="60"/>
      <c r="F13" s="61">
        <f>D13*$E$7</f>
        <v>-138003.94958449312</v>
      </c>
      <c r="G13" s="40">
        <f>SUM('[2]TLNG Upgrade Rev Req'!$L$61:$L$64)</f>
        <v>33708.662590060907</v>
      </c>
      <c r="H13" s="61">
        <f>F13-G13</f>
        <v>-171712.61217455403</v>
      </c>
      <c r="I13" s="62"/>
      <c r="J13" s="84">
        <f>H13/$I$10</f>
        <v>-228210.44344870697</v>
      </c>
      <c r="L13" s="69">
        <f>J13*L4</f>
        <v>-67584.09304988572</v>
      </c>
      <c r="M13" s="69">
        <f>J13*M4</f>
        <v>-160626.35039882126</v>
      </c>
      <c r="N13" s="58"/>
      <c r="O13" s="58"/>
      <c r="P13" s="58"/>
    </row>
    <row r="14" spans="2:17" ht="15" x14ac:dyDescent="0.25">
      <c r="B14" s="51">
        <f>ROW()</f>
        <v>14</v>
      </c>
      <c r="C14" s="85" t="s">
        <v>97</v>
      </c>
      <c r="D14" s="64">
        <f>SUM(D12:D13)</f>
        <v>21307340.011306312</v>
      </c>
      <c r="E14" s="66">
        <f>SUM(E9:E13)</f>
        <v>0</v>
      </c>
      <c r="F14" s="66">
        <f>SUM(F12:F13)</f>
        <v>1525605.5448095319</v>
      </c>
      <c r="G14" s="66">
        <f>SUM(G12:G13)</f>
        <v>-502749.15251206706</v>
      </c>
      <c r="H14" s="66">
        <f>SUM(H12:H13)</f>
        <v>2028354.6973215991</v>
      </c>
      <c r="I14" s="66"/>
      <c r="J14" s="86">
        <f>SUM(J12:J13)</f>
        <v>2695735.1535510886</v>
      </c>
      <c r="L14" s="83">
        <f>SUM(L12:L13)</f>
        <v>798336.68440417107</v>
      </c>
      <c r="M14" s="83">
        <f>SUM(M12:M13)</f>
        <v>1897398.4691469169</v>
      </c>
      <c r="N14" s="58">
        <f>'Summary Changes'!$D$13-L14</f>
        <v>0.20457520498894155</v>
      </c>
      <c r="O14" s="58">
        <f>'Summary Changes'!$D$14-M14</f>
        <v>-0.20457520382478833</v>
      </c>
      <c r="P14" s="58">
        <f>'Summary Changes'!$D$12-J14</f>
        <v>0</v>
      </c>
    </row>
    <row r="15" spans="2:17" ht="15" x14ac:dyDescent="0.25">
      <c r="B15" s="70">
        <f>ROW()</f>
        <v>15</v>
      </c>
      <c r="C15" s="25" t="s">
        <v>85</v>
      </c>
      <c r="D15" s="53">
        <f>'[2]TLNG Upgrade Rev Req'!H45</f>
        <v>21307340.011306316</v>
      </c>
      <c r="E15" s="54"/>
      <c r="F15" s="55">
        <f>'[2]TLNG Upgrade Rev Req'!H51</f>
        <v>1525605.5448095321</v>
      </c>
      <c r="G15" s="55">
        <f>SUM('[2]TLNG Upgrade Rev Req'!H61:H64)</f>
        <v>-502749.152512067</v>
      </c>
      <c r="H15" s="55">
        <f>'[2]TLNG Upgrade Rev Req'!H65</f>
        <v>2028354.6973215993</v>
      </c>
      <c r="I15" s="56"/>
      <c r="J15" s="57">
        <f>'[2]TLNG Upgrade Rev Req'!H71</f>
        <v>2695735.1535510891</v>
      </c>
      <c r="L15" s="69"/>
      <c r="M15" s="69"/>
      <c r="N15" s="58"/>
      <c r="O15" s="58"/>
      <c r="P15" s="58"/>
    </row>
    <row r="16" spans="2:17" ht="15" x14ac:dyDescent="0.25">
      <c r="B16" s="70">
        <f>ROW()</f>
        <v>16</v>
      </c>
      <c r="C16" s="25" t="s">
        <v>86</v>
      </c>
      <c r="D16" s="53">
        <f>ROUND(D14-D15,0)</f>
        <v>0</v>
      </c>
      <c r="E16" s="54"/>
      <c r="F16" s="55">
        <f>ROUND(F14-F15,0)</f>
        <v>0</v>
      </c>
      <c r="G16" s="55">
        <f>ROUND(G14-G15,0)</f>
        <v>0</v>
      </c>
      <c r="H16" s="55">
        <f>ROUND(H14-H15,0)</f>
        <v>0</v>
      </c>
      <c r="I16" s="56"/>
      <c r="J16" s="57">
        <f>ROUND(J14-J15,0)</f>
        <v>0</v>
      </c>
      <c r="N16" s="58"/>
      <c r="O16" s="58"/>
      <c r="P16" s="58"/>
    </row>
    <row r="17" spans="2:16" ht="15" x14ac:dyDescent="0.25">
      <c r="B17" s="25"/>
      <c r="C17" s="25"/>
      <c r="D17" s="71"/>
      <c r="E17" s="72"/>
      <c r="F17" s="72"/>
      <c r="G17" s="72"/>
      <c r="H17" s="72"/>
      <c r="I17" s="72"/>
      <c r="J17" s="73"/>
      <c r="N17" s="58"/>
      <c r="O17" s="58"/>
      <c r="P17" s="58"/>
    </row>
    <row r="21" spans="2:16" x14ac:dyDescent="0.2">
      <c r="J21" s="74"/>
    </row>
  </sheetData>
  <conditionalFormatting sqref="H3">
    <cfRule type="expression" dxfId="23" priority="15">
      <formula>ISERROR(H3)</formula>
    </cfRule>
  </conditionalFormatting>
  <conditionalFormatting sqref="H3">
    <cfRule type="expression" dxfId="22" priority="22">
      <formula>ISERROR(H3)</formula>
    </cfRule>
  </conditionalFormatting>
  <conditionalFormatting sqref="F3">
    <cfRule type="expression" dxfId="21" priority="14">
      <formula>ISERROR(F3)</formula>
    </cfRule>
  </conditionalFormatting>
  <conditionalFormatting sqref="D3">
    <cfRule type="expression" dxfId="20" priority="21">
      <formula>ISERROR(D3)</formula>
    </cfRule>
  </conditionalFormatting>
  <conditionalFormatting sqref="D3 F3:H3">
    <cfRule type="cellIs" dxfId="19" priority="23" operator="equal">
      <formula>0</formula>
    </cfRule>
    <cfRule type="cellIs" dxfId="18" priority="24" operator="notEqual">
      <formula>0</formula>
    </cfRule>
  </conditionalFormatting>
  <conditionalFormatting sqref="F3">
    <cfRule type="expression" dxfId="17" priority="13">
      <formula>ISERROR(F3)</formula>
    </cfRule>
  </conditionalFormatting>
  <conditionalFormatting sqref="F3">
    <cfRule type="expression" dxfId="16" priority="20">
      <formula>ISERROR(F3)</formula>
    </cfRule>
  </conditionalFormatting>
  <conditionalFormatting sqref="G3">
    <cfRule type="expression" dxfId="15" priority="19">
      <formula>ISERROR(G3)</formula>
    </cfRule>
  </conditionalFormatting>
  <conditionalFormatting sqref="F3">
    <cfRule type="expression" dxfId="14" priority="18">
      <formula>ISERROR(F3)</formula>
    </cfRule>
  </conditionalFormatting>
  <conditionalFormatting sqref="G3">
    <cfRule type="expression" dxfId="13" priority="17">
      <formula>ISERROR(G3)</formula>
    </cfRule>
  </conditionalFormatting>
  <conditionalFormatting sqref="H3">
    <cfRule type="expression" dxfId="12" priority="16">
      <formula>ISERROR(H3)</formula>
    </cfRule>
  </conditionalFormatting>
  <conditionalFormatting sqref="D1">
    <cfRule type="expression" dxfId="11" priority="10">
      <formula>ISERROR(D1)</formula>
    </cfRule>
  </conditionalFormatting>
  <conditionalFormatting sqref="D1">
    <cfRule type="expression" dxfId="10" priority="9">
      <formula>ISERROR(D1)</formula>
    </cfRule>
  </conditionalFormatting>
  <conditionalFormatting sqref="D1">
    <cfRule type="cellIs" dxfId="9" priority="11" operator="equal">
      <formula>0</formula>
    </cfRule>
    <cfRule type="cellIs" dxfId="8" priority="12" operator="notEqual">
      <formula>0</formula>
    </cfRule>
  </conditionalFormatting>
  <conditionalFormatting sqref="D1">
    <cfRule type="expression" dxfId="7" priority="8">
      <formula>ISERROR(D1)</formula>
    </cfRule>
  </conditionalFormatting>
  <conditionalFormatting sqref="D1">
    <cfRule type="expression" dxfId="6" priority="7">
      <formula>ISERROR(D1)</formula>
    </cfRule>
  </conditionalFormatting>
  <conditionalFormatting sqref="J3">
    <cfRule type="expression" dxfId="5" priority="3">
      <formula>ISERROR(J3)</formula>
    </cfRule>
  </conditionalFormatting>
  <conditionalFormatting sqref="J3">
    <cfRule type="expression" dxfId="4" priority="2">
      <formula>ISERROR(J3)</formula>
    </cfRule>
  </conditionalFormatting>
  <conditionalFormatting sqref="J3">
    <cfRule type="expression" dxfId="3" priority="1">
      <formula>ISERROR(J3)</formula>
    </cfRule>
  </conditionalFormatting>
  <conditionalFormatting sqref="J3">
    <cfRule type="cellIs" dxfId="2" priority="5" operator="equal">
      <formula>0</formula>
    </cfRule>
    <cfRule type="cellIs" dxfId="1" priority="6" operator="notEqual">
      <formula>0</formula>
    </cfRule>
  </conditionalFormatting>
  <conditionalFormatting sqref="J3">
    <cfRule type="expression" dxfId="0" priority="4">
      <formula>ISERROR(J3)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2024-05-03T07:00:00+00:00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F65E7C8-ACBF-4812-BD5D-C7B555559120}"/>
</file>

<file path=customXml/itemProps2.xml><?xml version="1.0" encoding="utf-8"?>
<ds:datastoreItem xmlns:ds="http://schemas.openxmlformats.org/officeDocument/2006/customXml" ds:itemID="{6AC44093-85F4-4C33-B6B4-604CEEE9A643}"/>
</file>

<file path=customXml/itemProps3.xml><?xml version="1.0" encoding="utf-8"?>
<ds:datastoreItem xmlns:ds="http://schemas.openxmlformats.org/officeDocument/2006/customXml" ds:itemID="{ABE3F4A3-8CB5-498E-BFA2-4AC3EDD5A092}"/>
</file>

<file path=customXml/itemProps4.xml><?xml version="1.0" encoding="utf-8"?>
<ds:datastoreItem xmlns:ds="http://schemas.openxmlformats.org/officeDocument/2006/customXml" ds:itemID="{77F14FF5-5E31-4C9A-B0C7-596E07BBE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 Changes</vt:lpstr>
      <vt:lpstr>Sch 141D As Filed</vt:lpstr>
      <vt:lpstr>Sch 141LNG roll forward</vt:lpstr>
      <vt:lpstr>Sch 141D roll forward</vt:lpstr>
      <vt:lpstr>'Sch 141D As Filed'!Print_Area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cp:lastPrinted>2024-04-27T21:29:54Z</cp:lastPrinted>
  <dcterms:created xsi:type="dcterms:W3CDTF">2024-04-27T04:39:30Z</dcterms:created>
  <dcterms:modified xsi:type="dcterms:W3CDTF">2024-05-02T02:13:50Z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