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12810" tabRatio="743"/>
  </bookViews>
  <sheets>
    <sheet name="Lead E" sheetId="1" r:id="rId1"/>
    <sheet name="Lead G" sheetId="2" r:id="rId2"/>
    <sheet name="TY Excise Tax" sheetId="5" r:id="rId3"/>
    <sheet name="True-up current period" sheetId="20" r:id="rId4"/>
    <sheet name="True-up prior period" sheetId="19" r:id="rId5"/>
    <sheet name="TY Filing Fee" sheetId="4" r:id="rId6"/>
    <sheet name="E Filing Fee Restated" sheetId="14" r:id="rId7"/>
    <sheet name="G Filing Fee Restated" sheetId="13" r:id="rId8"/>
    <sheet name="Order Group 456" sheetId="18" r:id="rId9"/>
  </sheets>
  <externalReferences>
    <externalReference r:id="rId10"/>
    <externalReference r:id="rId11"/>
  </externalReferences>
  <calcPr calcId="145621"/>
</workbook>
</file>

<file path=xl/calcChain.xml><?xml version="1.0" encoding="utf-8"?>
<calcChain xmlns="http://schemas.openxmlformats.org/spreadsheetml/2006/main">
  <c r="I3" i="5" l="1"/>
  <c r="H3" i="5"/>
  <c r="E46" i="14"/>
  <c r="E45" i="14"/>
  <c r="E44" i="14"/>
  <c r="D12" i="13"/>
  <c r="D12" i="14"/>
  <c r="C17" i="2" l="1"/>
  <c r="E47" i="14" l="1"/>
  <c r="B64" i="18"/>
  <c r="G143" i="5" l="1"/>
  <c r="G20" i="19"/>
  <c r="G108" i="5"/>
  <c r="I66" i="5"/>
  <c r="I67" i="5"/>
  <c r="I104" i="5"/>
  <c r="I105" i="5"/>
  <c r="I106" i="5"/>
  <c r="B107" i="5"/>
  <c r="C107" i="5"/>
  <c r="D107" i="5"/>
  <c r="E107" i="5"/>
  <c r="F107" i="5"/>
  <c r="K55" i="5"/>
  <c r="G55" i="5"/>
  <c r="K107" i="5" l="1"/>
  <c r="F33" i="4" l="1"/>
  <c r="F16" i="4"/>
  <c r="B54" i="5" l="1"/>
  <c r="C54" i="5"/>
  <c r="D54" i="5"/>
  <c r="E54" i="5"/>
  <c r="F54" i="5"/>
  <c r="A5" i="2"/>
  <c r="A4" i="2"/>
  <c r="M54" i="5" l="1"/>
  <c r="F142" i="5"/>
  <c r="E142" i="5"/>
  <c r="D142" i="5"/>
  <c r="C142" i="5"/>
  <c r="B142" i="5"/>
  <c r="M107" i="5"/>
  <c r="J54" i="5"/>
  <c r="H108" i="5" l="1"/>
  <c r="J108" i="5"/>
  <c r="L54" i="5" l="1"/>
  <c r="E48" i="14" l="1"/>
  <c r="F18" i="14" s="1"/>
  <c r="F31" i="14"/>
  <c r="F17" i="14"/>
  <c r="F31" i="13"/>
  <c r="F19" i="14" l="1"/>
  <c r="F21" i="14" s="1"/>
  <c r="D22" i="14" l="1"/>
  <c r="F22" i="14" s="1"/>
  <c r="D24" i="14"/>
  <c r="D25" i="14" s="1"/>
  <c r="F25" i="14" l="1"/>
  <c r="D26" i="14"/>
  <c r="F26" i="14" s="1"/>
  <c r="F27" i="14" l="1"/>
  <c r="F34" i="14" s="1"/>
  <c r="F35" i="14" s="1"/>
  <c r="F38" i="14" s="1"/>
  <c r="D13" i="1" s="1"/>
  <c r="F17" i="13" l="1"/>
  <c r="F19" i="13" s="1"/>
  <c r="F21" i="13" l="1"/>
  <c r="D22" i="13"/>
  <c r="F22" i="13" s="1"/>
  <c r="D24" i="13"/>
  <c r="D25" i="13" l="1"/>
  <c r="F25" i="13" s="1"/>
  <c r="D26" i="13" l="1"/>
  <c r="F26" i="13" s="1"/>
  <c r="F27" i="13" s="1"/>
  <c r="F34" i="13" l="1"/>
  <c r="F35" i="13" s="1"/>
  <c r="F38" i="13" s="1"/>
  <c r="D13" i="2" s="1"/>
  <c r="G144" i="5" l="1"/>
  <c r="L80" i="5"/>
  <c r="L81" i="5"/>
  <c r="L82" i="5"/>
  <c r="L83" i="5"/>
  <c r="L84" i="5"/>
  <c r="L85" i="5"/>
  <c r="L86" i="5"/>
  <c r="L87" i="5"/>
  <c r="L88" i="5"/>
  <c r="L89" i="5"/>
  <c r="L90" i="5"/>
  <c r="L91" i="5"/>
  <c r="L92" i="5"/>
  <c r="L93" i="5"/>
  <c r="L94" i="5"/>
  <c r="L95" i="5"/>
  <c r="L96" i="5"/>
  <c r="L97" i="5"/>
  <c r="L98" i="5"/>
  <c r="L99" i="5"/>
  <c r="L100" i="5"/>
  <c r="L101" i="5"/>
  <c r="L102" i="5"/>
  <c r="L103" i="5"/>
  <c r="L68" i="5"/>
  <c r="L69" i="5"/>
  <c r="L70" i="5"/>
  <c r="L71" i="5"/>
  <c r="L72" i="5"/>
  <c r="L73" i="5"/>
  <c r="L74" i="5"/>
  <c r="L75" i="5"/>
  <c r="L76" i="5"/>
  <c r="L77" i="5"/>
  <c r="L78" i="5"/>
  <c r="L79" i="5"/>
  <c r="L58" i="5"/>
  <c r="L59" i="5"/>
  <c r="L60" i="5"/>
  <c r="L61" i="5"/>
  <c r="L62" i="5"/>
  <c r="L63" i="5"/>
  <c r="L64" i="5"/>
  <c r="L65" i="5"/>
  <c r="L57" i="5"/>
  <c r="I80" i="5"/>
  <c r="I81" i="5"/>
  <c r="M81" i="5" s="1"/>
  <c r="I82" i="5"/>
  <c r="M82" i="5" s="1"/>
  <c r="I83" i="5"/>
  <c r="M83" i="5" s="1"/>
  <c r="I84" i="5"/>
  <c r="M84" i="5" s="1"/>
  <c r="I85" i="5"/>
  <c r="M85" i="5" s="1"/>
  <c r="I86" i="5"/>
  <c r="M86" i="5" s="1"/>
  <c r="I87" i="5"/>
  <c r="M87" i="5" s="1"/>
  <c r="I88" i="5"/>
  <c r="M88" i="5" s="1"/>
  <c r="I89" i="5"/>
  <c r="M89" i="5" s="1"/>
  <c r="I90" i="5"/>
  <c r="M90" i="5" s="1"/>
  <c r="I91" i="5"/>
  <c r="M91" i="5" s="1"/>
  <c r="I92" i="5"/>
  <c r="M92" i="5" s="1"/>
  <c r="I93" i="5"/>
  <c r="M93" i="5" s="1"/>
  <c r="I94" i="5"/>
  <c r="M94" i="5" s="1"/>
  <c r="I95" i="5"/>
  <c r="M95" i="5" s="1"/>
  <c r="I96" i="5"/>
  <c r="M96" i="5" s="1"/>
  <c r="I97" i="5"/>
  <c r="M97" i="5" s="1"/>
  <c r="I98" i="5"/>
  <c r="M98" i="5" s="1"/>
  <c r="I99" i="5"/>
  <c r="M99" i="5" s="1"/>
  <c r="I100" i="5"/>
  <c r="M100" i="5" s="1"/>
  <c r="I101" i="5"/>
  <c r="M101" i="5" s="1"/>
  <c r="I102" i="5"/>
  <c r="M102" i="5" s="1"/>
  <c r="I103" i="5"/>
  <c r="M103" i="5" s="1"/>
  <c r="I68" i="5"/>
  <c r="M68" i="5" s="1"/>
  <c r="I69" i="5"/>
  <c r="M69" i="5" s="1"/>
  <c r="I70" i="5"/>
  <c r="M70" i="5" s="1"/>
  <c r="I71" i="5"/>
  <c r="M71" i="5" s="1"/>
  <c r="I72" i="5"/>
  <c r="M72" i="5" s="1"/>
  <c r="I73" i="5"/>
  <c r="M73" i="5" s="1"/>
  <c r="I74" i="5"/>
  <c r="M74" i="5" s="1"/>
  <c r="I75" i="5"/>
  <c r="M75" i="5" s="1"/>
  <c r="I76" i="5"/>
  <c r="M76" i="5" s="1"/>
  <c r="I77" i="5"/>
  <c r="M77" i="5" s="1"/>
  <c r="I78" i="5"/>
  <c r="M78" i="5" s="1"/>
  <c r="I79" i="5"/>
  <c r="M79" i="5" s="1"/>
  <c r="I58" i="5"/>
  <c r="M58" i="5" s="1"/>
  <c r="I59" i="5"/>
  <c r="M59" i="5" s="1"/>
  <c r="I60" i="5"/>
  <c r="M60" i="5" s="1"/>
  <c r="I61" i="5"/>
  <c r="M61" i="5" s="1"/>
  <c r="I62" i="5"/>
  <c r="M62" i="5" s="1"/>
  <c r="I63" i="5"/>
  <c r="M63" i="5" s="1"/>
  <c r="I64" i="5"/>
  <c r="M64" i="5" s="1"/>
  <c r="I65" i="5"/>
  <c r="M65" i="5" s="1"/>
  <c r="I57"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6" i="5"/>
  <c r="J6" i="5" s="1"/>
  <c r="J55" i="5" s="1"/>
  <c r="H7" i="5"/>
  <c r="H8" i="5"/>
  <c r="H9" i="5"/>
  <c r="H10" i="5"/>
  <c r="H11" i="5"/>
  <c r="H12" i="5"/>
  <c r="H13" i="5"/>
  <c r="H14" i="5"/>
  <c r="H15" i="5"/>
  <c r="H52" i="5"/>
  <c r="H53" i="5"/>
  <c r="H16" i="5"/>
  <c r="K57" i="5" l="1"/>
  <c r="K108" i="5" s="1"/>
  <c r="H55" i="5"/>
  <c r="I16" i="5"/>
  <c r="M16" i="5" s="1"/>
  <c r="L108" i="5"/>
  <c r="M57" i="5"/>
  <c r="I108" i="5"/>
  <c r="L13" i="5"/>
  <c r="I13" i="5"/>
  <c r="M13" i="5" s="1"/>
  <c r="L51" i="5"/>
  <c r="I51" i="5"/>
  <c r="M51" i="5" s="1"/>
  <c r="L43" i="5"/>
  <c r="I43" i="5"/>
  <c r="M43" i="5" s="1"/>
  <c r="L35" i="5"/>
  <c r="I35" i="5"/>
  <c r="M35" i="5" s="1"/>
  <c r="L31" i="5"/>
  <c r="I31" i="5"/>
  <c r="M31" i="5" s="1"/>
  <c r="L23" i="5"/>
  <c r="I23" i="5"/>
  <c r="M23" i="5" s="1"/>
  <c r="L52" i="5"/>
  <c r="I52" i="5"/>
  <c r="M52" i="5" s="1"/>
  <c r="L50" i="5"/>
  <c r="I50" i="5"/>
  <c r="M50" i="5" s="1"/>
  <c r="L38" i="5"/>
  <c r="I38" i="5"/>
  <c r="M38" i="5" s="1"/>
  <c r="L30" i="5"/>
  <c r="I30" i="5"/>
  <c r="M30" i="5" s="1"/>
  <c r="L22" i="5"/>
  <c r="I22" i="5"/>
  <c r="M22" i="5" s="1"/>
  <c r="L11" i="5"/>
  <c r="I11" i="5"/>
  <c r="M11" i="5" s="1"/>
  <c r="L21" i="5"/>
  <c r="I21" i="5"/>
  <c r="M21" i="5" s="1"/>
  <c r="L53" i="5"/>
  <c r="I53" i="5"/>
  <c r="M53" i="5" s="1"/>
  <c r="L9" i="5"/>
  <c r="I9" i="5"/>
  <c r="M9" i="5" s="1"/>
  <c r="L47" i="5"/>
  <c r="I47" i="5"/>
  <c r="M47" i="5" s="1"/>
  <c r="L39" i="5"/>
  <c r="I39" i="5"/>
  <c r="M39" i="5" s="1"/>
  <c r="L27" i="5"/>
  <c r="I27" i="5"/>
  <c r="M27" i="5" s="1"/>
  <c r="L19" i="5"/>
  <c r="I19" i="5"/>
  <c r="M19" i="5" s="1"/>
  <c r="L12" i="5"/>
  <c r="I12" i="5"/>
  <c r="M12" i="5" s="1"/>
  <c r="L8" i="5"/>
  <c r="I8" i="5"/>
  <c r="M8" i="5" s="1"/>
  <c r="L46" i="5"/>
  <c r="I46" i="5"/>
  <c r="M46" i="5" s="1"/>
  <c r="L42" i="5"/>
  <c r="I42" i="5"/>
  <c r="M42" i="5" s="1"/>
  <c r="L34" i="5"/>
  <c r="I34" i="5"/>
  <c r="M34" i="5" s="1"/>
  <c r="L26" i="5"/>
  <c r="I26" i="5"/>
  <c r="M26" i="5" s="1"/>
  <c r="L18" i="5"/>
  <c r="I18" i="5"/>
  <c r="M18" i="5" s="1"/>
  <c r="L15" i="5"/>
  <c r="I15" i="5"/>
  <c r="M15" i="5" s="1"/>
  <c r="L7" i="5"/>
  <c r="I7" i="5"/>
  <c r="M7" i="5" s="1"/>
  <c r="L49" i="5"/>
  <c r="I49" i="5"/>
  <c r="M49" i="5" s="1"/>
  <c r="L45" i="5"/>
  <c r="I45" i="5"/>
  <c r="M45" i="5" s="1"/>
  <c r="L41" i="5"/>
  <c r="I41" i="5"/>
  <c r="M41" i="5" s="1"/>
  <c r="L37" i="5"/>
  <c r="I37" i="5"/>
  <c r="M37" i="5" s="1"/>
  <c r="L33" i="5"/>
  <c r="I33" i="5"/>
  <c r="M33" i="5" s="1"/>
  <c r="L29" i="5"/>
  <c r="I29" i="5"/>
  <c r="M29" i="5" s="1"/>
  <c r="L25" i="5"/>
  <c r="I25" i="5"/>
  <c r="M25" i="5" s="1"/>
  <c r="I17" i="5"/>
  <c r="L14" i="5"/>
  <c r="I14" i="5"/>
  <c r="M14" i="5" s="1"/>
  <c r="L10" i="5"/>
  <c r="I10" i="5"/>
  <c r="M10" i="5" s="1"/>
  <c r="L6" i="5"/>
  <c r="I6" i="5"/>
  <c r="M6" i="5" s="1"/>
  <c r="L48" i="5"/>
  <c r="I48" i="5"/>
  <c r="M48" i="5" s="1"/>
  <c r="L44" i="5"/>
  <c r="I44" i="5"/>
  <c r="M44" i="5" s="1"/>
  <c r="L40" i="5"/>
  <c r="I40" i="5"/>
  <c r="M40" i="5" s="1"/>
  <c r="L36" i="5"/>
  <c r="I36" i="5"/>
  <c r="M36" i="5" s="1"/>
  <c r="L32" i="5"/>
  <c r="I32" i="5"/>
  <c r="M32" i="5" s="1"/>
  <c r="L28" i="5"/>
  <c r="I28" i="5"/>
  <c r="M28" i="5" s="1"/>
  <c r="L24" i="5"/>
  <c r="I24" i="5"/>
  <c r="M24" i="5" s="1"/>
  <c r="L20" i="5"/>
  <c r="I20" i="5"/>
  <c r="M20" i="5" s="1"/>
  <c r="L17" i="5"/>
  <c r="M80" i="5"/>
  <c r="I55" i="5" l="1"/>
  <c r="M108" i="5"/>
  <c r="L16" i="5"/>
  <c r="M17" i="5"/>
  <c r="M55" i="5" s="1"/>
  <c r="C13" i="2"/>
  <c r="E13" i="2" s="1"/>
  <c r="C13" i="1"/>
  <c r="L55" i="5" l="1"/>
  <c r="E13" i="1"/>
  <c r="H114" i="5" l="1"/>
  <c r="L114" i="5" s="1"/>
  <c r="H127" i="5"/>
  <c r="L127" i="5" s="1"/>
  <c r="H129" i="5"/>
  <c r="L129" i="5" s="1"/>
  <c r="H110" i="5" l="1"/>
  <c r="J110" i="5" s="1"/>
  <c r="H140" i="5"/>
  <c r="L140" i="5" s="1"/>
  <c r="H136" i="5"/>
  <c r="L136" i="5" s="1"/>
  <c r="H138" i="5"/>
  <c r="L138" i="5" s="1"/>
  <c r="H132" i="5"/>
  <c r="L132" i="5" s="1"/>
  <c r="H111" i="5"/>
  <c r="L111" i="5" s="1"/>
  <c r="H130" i="5"/>
  <c r="L130" i="5" s="1"/>
  <c r="H135" i="5"/>
  <c r="L135" i="5" s="1"/>
  <c r="H133" i="5"/>
  <c r="L133" i="5" s="1"/>
  <c r="H116" i="5"/>
  <c r="L116" i="5" s="1"/>
  <c r="H123" i="5"/>
  <c r="L123" i="5" s="1"/>
  <c r="H139" i="5"/>
  <c r="L139" i="5" s="1"/>
  <c r="H124" i="5"/>
  <c r="L124" i="5" s="1"/>
  <c r="H141" i="5"/>
  <c r="L141" i="5" s="1"/>
  <c r="H134" i="5"/>
  <c r="L134" i="5" s="1"/>
  <c r="J3" i="5"/>
  <c r="J142" i="5" s="1"/>
  <c r="L142" i="5" s="1"/>
  <c r="H137" i="5"/>
  <c r="L137" i="5" s="1"/>
  <c r="H113" i="5"/>
  <c r="L113" i="5" s="1"/>
  <c r="H121" i="5"/>
  <c r="L121" i="5" s="1"/>
  <c r="L3" i="5"/>
  <c r="H112" i="5"/>
  <c r="L112" i="5" s="1"/>
  <c r="H119" i="5"/>
  <c r="L119" i="5" s="1"/>
  <c r="H122" i="5"/>
  <c r="L122" i="5" s="1"/>
  <c r="H117" i="5"/>
  <c r="L117" i="5" s="1"/>
  <c r="H125" i="5"/>
  <c r="L125" i="5" s="1"/>
  <c r="H118" i="5"/>
  <c r="L118" i="5" s="1"/>
  <c r="H120" i="5"/>
  <c r="L120" i="5" s="1"/>
  <c r="H115" i="5"/>
  <c r="L115" i="5" s="1"/>
  <c r="H128" i="5"/>
  <c r="L128" i="5" s="1"/>
  <c r="H126" i="5"/>
  <c r="L126" i="5" s="1"/>
  <c r="H131" i="5"/>
  <c r="L131" i="5" s="1"/>
  <c r="I115" i="5"/>
  <c r="M115" i="5" s="1"/>
  <c r="I124" i="5"/>
  <c r="M124" i="5" s="1"/>
  <c r="I120" i="5"/>
  <c r="M120" i="5" s="1"/>
  <c r="I111" i="5"/>
  <c r="M111" i="5" s="1"/>
  <c r="K3" i="5"/>
  <c r="K142" i="5" s="1"/>
  <c r="M142" i="5" s="1"/>
  <c r="I127" i="5"/>
  <c r="M127" i="5" s="1"/>
  <c r="I133" i="5"/>
  <c r="M133" i="5" s="1"/>
  <c r="I140" i="5"/>
  <c r="M140" i="5" s="1"/>
  <c r="I118" i="5"/>
  <c r="M118" i="5" s="1"/>
  <c r="I136" i="5"/>
  <c r="M136" i="5" s="1"/>
  <c r="I112" i="5"/>
  <c r="M112" i="5" s="1"/>
  <c r="I137" i="5"/>
  <c r="M137" i="5" s="1"/>
  <c r="I121" i="5"/>
  <c r="M121" i="5" s="1"/>
  <c r="I128" i="5"/>
  <c r="M128" i="5" s="1"/>
  <c r="I113" i="5"/>
  <c r="M113" i="5" s="1"/>
  <c r="M3" i="5"/>
  <c r="I123" i="5"/>
  <c r="M123" i="5" s="1"/>
  <c r="I138" i="5"/>
  <c r="M138" i="5" s="1"/>
  <c r="I116" i="5"/>
  <c r="M116" i="5" s="1"/>
  <c r="I122" i="5"/>
  <c r="M122" i="5" s="1"/>
  <c r="I114" i="5"/>
  <c r="M114" i="5" s="1"/>
  <c r="I110" i="5"/>
  <c r="I139" i="5"/>
  <c r="M139" i="5" s="1"/>
  <c r="I130" i="5"/>
  <c r="M130" i="5" s="1"/>
  <c r="I126" i="5"/>
  <c r="M126" i="5" s="1"/>
  <c r="I119" i="5"/>
  <c r="M119" i="5" s="1"/>
  <c r="I132" i="5"/>
  <c r="M132" i="5" s="1"/>
  <c r="I117" i="5"/>
  <c r="M117" i="5" s="1"/>
  <c r="I129" i="5"/>
  <c r="M129" i="5" s="1"/>
  <c r="I134" i="5"/>
  <c r="M134" i="5" s="1"/>
  <c r="I125" i="5"/>
  <c r="M125" i="5" s="1"/>
  <c r="I141" i="5"/>
  <c r="M141" i="5" s="1"/>
  <c r="I135" i="5"/>
  <c r="M135" i="5" s="1"/>
  <c r="I131" i="5"/>
  <c r="M131" i="5" s="1"/>
  <c r="J143" i="5" l="1"/>
  <c r="J144" i="5" s="1"/>
  <c r="H143" i="5"/>
  <c r="H144" i="5" s="1"/>
  <c r="C12" i="1" s="1"/>
  <c r="C14" i="1" s="1"/>
  <c r="L110" i="5"/>
  <c r="L143" i="5" s="1"/>
  <c r="L144" i="5" s="1"/>
  <c r="D12" i="1" s="1"/>
  <c r="D14" i="1" s="1"/>
  <c r="K110" i="5"/>
  <c r="K143" i="5" s="1"/>
  <c r="K144" i="5" s="1"/>
  <c r="I143" i="5"/>
  <c r="I144" i="5" s="1"/>
  <c r="C12" i="2" s="1"/>
  <c r="C14" i="2" s="1"/>
  <c r="E12" i="1" l="1"/>
  <c r="E14" i="1" s="1"/>
  <c r="E16" i="1" s="1"/>
  <c r="E17" i="1" s="1"/>
  <c r="E18" i="1" s="1"/>
  <c r="M110" i="5"/>
  <c r="M143" i="5" s="1"/>
  <c r="M144" i="5" s="1"/>
  <c r="D12" i="2" s="1"/>
  <c r="D14" i="2" l="1"/>
  <c r="E12" i="2"/>
  <c r="E14" i="2" s="1"/>
  <c r="E16" i="2" s="1"/>
  <c r="E17" i="2" s="1"/>
  <c r="E18" i="2" s="1"/>
</calcChain>
</file>

<file path=xl/sharedStrings.xml><?xml version="1.0" encoding="utf-8"?>
<sst xmlns="http://schemas.openxmlformats.org/spreadsheetml/2006/main" count="631" uniqueCount="196">
  <si>
    <t>LINE</t>
  </si>
  <si>
    <t>NO.</t>
  </si>
  <si>
    <t>DESCRIPTION</t>
  </si>
  <si>
    <t>TEST YEAR</t>
  </si>
  <si>
    <t>RESTATED</t>
  </si>
  <si>
    <t>ADJUSTMENT</t>
  </si>
  <si>
    <t>EXCISE TAXES</t>
  </si>
  <si>
    <t>WUTC FILING FEE</t>
  </si>
  <si>
    <t>INCREASE(DECREASE) EXCISE AND WUTC FILING FEE</t>
  </si>
  <si>
    <t xml:space="preserve">INCREASE(DECREASE) OPERATING EXPENSE </t>
  </si>
  <si>
    <t>INCREASE(DECREASE) FIT @</t>
  </si>
  <si>
    <t>INCREASE(DECREASE) NOI</t>
  </si>
  <si>
    <t>Order</t>
  </si>
  <si>
    <t>Posting Date</t>
  </si>
  <si>
    <t>Val.in rep.cur.</t>
  </si>
  <si>
    <t/>
  </si>
  <si>
    <t>Electric</t>
  </si>
  <si>
    <t>Gas</t>
  </si>
  <si>
    <t>Fiscal Year</t>
  </si>
  <si>
    <t>Period</t>
  </si>
  <si>
    <t>Name</t>
  </si>
  <si>
    <t>State Excise Taxes</t>
  </si>
  <si>
    <t>Accrue Utility Tax on Unbilled Electric Revenue</t>
  </si>
  <si>
    <t>State Excise Tax True-up - Electric</t>
  </si>
  <si>
    <t>State Excise Tax Accrual - Electric</t>
  </si>
  <si>
    <t>Accrue Utility Tax on Unbilled Gas Revenue</t>
  </si>
  <si>
    <t>State Excise Tax True-up - Gas</t>
  </si>
  <si>
    <t>State Excise Tax Accrual - Gas</t>
  </si>
  <si>
    <t>Excise Taxes</t>
  </si>
  <si>
    <t>State Excise Tax True-up - Common</t>
  </si>
  <si>
    <t>Accrue City B&amp;O Taxes</t>
  </si>
  <si>
    <t>State Excise Tax Accrual - Common</t>
  </si>
  <si>
    <t>Restating</t>
  </si>
  <si>
    <t>Test Year</t>
  </si>
  <si>
    <t>Adjustments</t>
  </si>
  <si>
    <t>Restated</t>
  </si>
  <si>
    <t>Reason for</t>
  </si>
  <si>
    <t>Adjustment</t>
  </si>
  <si>
    <t>40810002- State Excise Taxes - Electric</t>
  </si>
  <si>
    <t>Account 40810302 State Excise Taxes - Gas</t>
  </si>
  <si>
    <t>Account 40810602 State Excise Taxes - Common</t>
  </si>
  <si>
    <t>Grand Total Excise Tax</t>
  </si>
  <si>
    <t>WASHINGTON UTILITIES AND TRANSPORTATION COMMISSION</t>
  </si>
  <si>
    <t>INVESTOR OWNED ELECTRICAL UTILITY REGULATORY FEE SCHEDULE 1</t>
  </si>
  <si>
    <t>X</t>
  </si>
  <si>
    <t>Ln</t>
  </si>
  <si>
    <t>1.a</t>
  </si>
  <si>
    <t>Total Sales to Ultimate Customers (from WA State Electrical Annual Report, FERC Form 1, Page 300, Line 10) *</t>
  </si>
  <si>
    <t>1.b</t>
  </si>
  <si>
    <t>Check the box to the right if amount on Line 1 above includes unbilled revenue for this annual report year</t>
  </si>
  <si>
    <t>1.c</t>
  </si>
  <si>
    <t>Check the box to the right if amount on Line 1 above does not include unbilled revenue for this annual report year</t>
  </si>
  <si>
    <t>1.d</t>
  </si>
  <si>
    <t>1.e</t>
  </si>
  <si>
    <t xml:space="preserve">Add lines 1.a and 1.e and enter total </t>
  </si>
  <si>
    <t>.</t>
  </si>
  <si>
    <t>Enter total from Schedule 2</t>
  </si>
  <si>
    <t>Total Gross Intrastate Operating Revenue (add Lines 1 and 2)</t>
  </si>
  <si>
    <t>Regulatory Fee Calculations:</t>
  </si>
  <si>
    <t>4.a</t>
  </si>
  <si>
    <t>4a</t>
  </si>
  <si>
    <t>4.b</t>
  </si>
  <si>
    <t>4b</t>
  </si>
  <si>
    <t>x .001 (.1%)      =</t>
  </si>
  <si>
    <t>4.c</t>
  </si>
  <si>
    <t>4c</t>
  </si>
  <si>
    <t>4.d</t>
  </si>
  <si>
    <t>4d</t>
  </si>
  <si>
    <t>4.e</t>
  </si>
  <si>
    <t>Adjustment of Gross Intrastate Operating Revenue (subtract Line 4d from 4c)</t>
  </si>
  <si>
    <t>4e</t>
  </si>
  <si>
    <t xml:space="preserve">x .002 (.2%) = </t>
  </si>
  <si>
    <t>Total Regulatory Fees owed (enter line 4b, or add 4d and 4e)</t>
  </si>
  <si>
    <t>Agency Use Only</t>
  </si>
  <si>
    <t>001-111-02-68-140-01</t>
  </si>
  <si>
    <t>Complete Lines 6 through 9 if filing after May 2</t>
  </si>
  <si>
    <t>Penalties on Regulatory Fees filed after May 2</t>
  </si>
  <si>
    <t>6.a</t>
  </si>
  <si>
    <t>Total Penalties on Regulatory Fees owed - enter amount from line 5</t>
  </si>
  <si>
    <t>6a</t>
  </si>
  <si>
    <t>x .02 (2 %)        =</t>
  </si>
  <si>
    <t>Interest on Regulatory Fees filed after May 31</t>
  </si>
  <si>
    <t>7.a</t>
  </si>
  <si>
    <t>Number of months past May 31</t>
  </si>
  <si>
    <t>7.b</t>
  </si>
  <si>
    <t>Amount from line 5 __________________ x Number of months past May 31 _________ x .01 (1%) =</t>
  </si>
  <si>
    <t>Total Penalties and Interest owed (add lines 6.a and 7.b)</t>
  </si>
  <si>
    <t>001-111-02-68-140-11</t>
  </si>
  <si>
    <t>Total Regulatory, Penalty and Interest Fees Due (add lines 5 and 8)</t>
  </si>
  <si>
    <t>*</t>
  </si>
  <si>
    <t xml:space="preserve">The total of the following FERC Operating Revenue Accounts: 440 - Residential Sales, 442 - Commercial and Industrial Sales, 444 - Public Street and Highway Lighting, 445 - Other Sales to Public Authorities, 446 - Sales to Railroads and Railways and 448- Interdepartmental Sales. </t>
  </si>
  <si>
    <t>**</t>
  </si>
  <si>
    <t>Unbilled revenues not included in the previous year's annual report must be included in this year's report for calculation of the Commission's regulatory fee. The amount must be the same as Line 1.d in the previous year's annual report.</t>
  </si>
  <si>
    <t xml:space="preserve">          (5) 450 - Forfeited Discounts</t>
  </si>
  <si>
    <t xml:space="preserve">          (5) 451 - Electric Misc Service Revenue</t>
  </si>
  <si>
    <t xml:space="preserve">          (5) 454 - Rent For Electric Property</t>
  </si>
  <si>
    <t xml:space="preserve">In accordance with RCW 80.24.010 "Regulatory Fees", the Commission requires Electric companies to file reports of gross intrastate operating revenue and pay fees on that revenue.  Every company subject </t>
  </si>
  <si>
    <t xml:space="preserve">to regulation shall file with the Commission a statement under oath showing its gross intrastate operating revenue from operations for the preceding year and pay to the Commission a fee as instructed below. </t>
  </si>
  <si>
    <t xml:space="preserve">WAC 480-100-252 (2) requires that each utility must also submit to this commission, in essentially the same format and content as the FERC Form No. 1, a report that documents the costs incurred and the </t>
  </si>
  <si>
    <t xml:space="preserve">property necessary to furnish utility service to its customers and the revenues obtained in the state of Washington. Data entry by the Company, as instructed by Schedule 1 below, is restricted to Lines </t>
  </si>
  <si>
    <t>1.a, 1.b, 1.c, 1.d, 1.e, 6.a and 7.a (highlighted in blue) and Schedule 2, Columns A, B and C (separate worksheet).  When completed, the Company must file both Reg. Fee Schedule 1 and Schedule 2.</t>
  </si>
  <si>
    <t>Company:  Puget Sound Energy</t>
  </si>
  <si>
    <r>
      <t xml:space="preserve">If line 3 is </t>
    </r>
    <r>
      <rPr>
        <b/>
        <sz val="11"/>
        <color theme="1"/>
        <rFont val="Calibri"/>
        <family val="2"/>
        <scheme val="minor"/>
      </rPr>
      <t>UNDER</t>
    </r>
    <r>
      <rPr>
        <sz val="11"/>
        <color theme="1"/>
        <rFont val="Calibri"/>
        <family val="2"/>
        <scheme val="minor"/>
      </rPr>
      <t xml:space="preserve"> $20,000, Enter </t>
    </r>
    <r>
      <rPr>
        <b/>
        <sz val="11"/>
        <color theme="1"/>
        <rFont val="Calibri"/>
        <family val="2"/>
        <scheme val="minor"/>
      </rPr>
      <t>ZERO</t>
    </r>
    <r>
      <rPr>
        <sz val="11"/>
        <color theme="1"/>
        <rFont val="Calibri"/>
        <family val="2"/>
        <scheme val="minor"/>
      </rPr>
      <t xml:space="preserve"> (Filing </t>
    </r>
    <r>
      <rPr>
        <b/>
        <sz val="11"/>
        <color theme="1"/>
        <rFont val="Calibri"/>
        <family val="2"/>
      </rPr>
      <t>ZERO</t>
    </r>
    <r>
      <rPr>
        <sz val="11"/>
        <color theme="1"/>
        <rFont val="Calibri"/>
        <family val="2"/>
        <scheme val="minor"/>
      </rPr>
      <t xml:space="preserve"> indicates schedule is complete)</t>
    </r>
  </si>
  <si>
    <r>
      <t xml:space="preserve">If line 3 is </t>
    </r>
    <r>
      <rPr>
        <b/>
        <sz val="11"/>
        <color theme="1"/>
        <rFont val="Calibri"/>
        <family val="2"/>
      </rPr>
      <t>BETWEEN</t>
    </r>
    <r>
      <rPr>
        <sz val="11"/>
        <color theme="1"/>
        <rFont val="Calibri"/>
        <family val="2"/>
        <scheme val="minor"/>
      </rPr>
      <t xml:space="preserve"> $20,000 and $50,000-enter amount from line 3</t>
    </r>
  </si>
  <si>
    <r>
      <t xml:space="preserve">(Filing </t>
    </r>
    <r>
      <rPr>
        <b/>
        <sz val="11"/>
        <color theme="1"/>
        <rFont val="Calibri"/>
        <family val="2"/>
      </rPr>
      <t>BETWEEN</t>
    </r>
    <r>
      <rPr>
        <sz val="11"/>
        <color theme="1"/>
        <rFont val="Calibri"/>
        <family val="2"/>
        <scheme val="minor"/>
      </rPr>
      <t xml:space="preserve"> $20,000 and $50,000 indicates schedule is complete.  If filing after May 1st go to Line 6)</t>
    </r>
  </si>
  <si>
    <r>
      <t xml:space="preserve">If line 3 is </t>
    </r>
    <r>
      <rPr>
        <b/>
        <sz val="11"/>
        <color theme="1"/>
        <rFont val="Calibri"/>
        <family val="2"/>
      </rPr>
      <t>OVER</t>
    </r>
    <r>
      <rPr>
        <sz val="11"/>
        <color theme="1"/>
        <rFont val="Calibri"/>
        <family val="2"/>
        <scheme val="minor"/>
      </rPr>
      <t xml:space="preserve"> $50,000-enter amount from line 3</t>
    </r>
  </si>
  <si>
    <r>
      <rPr>
        <b/>
        <sz val="11"/>
        <color theme="1"/>
        <rFont val="Calibri"/>
        <family val="2"/>
      </rPr>
      <t>First</t>
    </r>
    <r>
      <rPr>
        <sz val="11"/>
        <color theme="1"/>
        <rFont val="Calibri"/>
        <family val="2"/>
        <scheme val="minor"/>
      </rPr>
      <t xml:space="preserve"> $50,000 is subject to .1% regulatory fee</t>
    </r>
  </si>
  <si>
    <r>
      <t xml:space="preserve">     If box in 1.c has been checked, enter unbilled revenue amount  for </t>
    </r>
    <r>
      <rPr>
        <b/>
        <u/>
        <sz val="11"/>
        <color theme="1"/>
        <rFont val="Calibri"/>
        <family val="2"/>
      </rPr>
      <t>this annual report year</t>
    </r>
  </si>
  <si>
    <r>
      <t xml:space="preserve">     If box in 1.c has been checked, enter unbilled revenue amount  for the </t>
    </r>
    <r>
      <rPr>
        <b/>
        <u/>
        <sz val="11"/>
        <color theme="1"/>
        <rFont val="Calibri"/>
        <family val="2"/>
      </rPr>
      <t>last annual report year**</t>
    </r>
  </si>
  <si>
    <t>(see components of below)</t>
  </si>
  <si>
    <t>Components of Line 2 "Other Operating Revenue"</t>
  </si>
  <si>
    <t xml:space="preserve">               Grand Total Other Operation Revenue on Line 2 Above</t>
  </si>
  <si>
    <t xml:space="preserve">  ZO12                      Orders: Actual 12 Month Ended</t>
  </si>
  <si>
    <t xml:space="preserve">          Order group 456</t>
  </si>
  <si>
    <t xml:space="preserve">In accordance with RCW 80.24.010 "Regulatory Fees", the Commission requires Gas companies to file reports of gross intrastate operating revenue and pay fees on that revenue.  Every company subject to </t>
  </si>
  <si>
    <t xml:space="preserve">regulation shall file with the Commission a statement under oath showing its gross intrastate operating revenue from operations for the preceding year and pay to the Commission a fee as instructed below. </t>
  </si>
  <si>
    <t xml:space="preserve">WAC 480-90-252 (2) requires that each utility must also submit to this commission, in essentially the same format and content as the FERC Form No. 2, a report that documents the costs incurred and the property </t>
  </si>
  <si>
    <t>1.a, 1.b, 1.c, 1.d, 1.e, 6.a and 7.a (highlighted in blue below) and Schedule 2, Columns A, B and C (separate worksheet). When completed, the Company must file both Reg. Fee Schedule 1 and Schedule 2.</t>
  </si>
  <si>
    <t>Total Sales to Ultimate Customers (from WA State Gas Annual Report, FERC Form 2, Page 300, Line 21, Column (h)) *</t>
  </si>
  <si>
    <t>Enter total from Schedule 2; Non-Fee Paying Revenue</t>
  </si>
  <si>
    <t>Total Regulatory, Penalty and Interest Fees Due (add lines 4b, 5 and 8)</t>
  </si>
  <si>
    <t>The total of the following FERC Gas Operating Revenue Accounts: 480 Residential Sales, 481 Commercial and Industrial Sales, 482 Other Sales to Public Authorities, 483 Sales for Resale, 484 Interdepartmental Sales, 485 lntracompany Transfers, 487 Forfeited Discounts, 488 Miscellaneous Service Revenues, 489.1 Revenues from Transportation of Gas of Others Through Gathering Facilities, 489.2 Revenues from Transportation of Gas of Others Through Transmission Facilities, 489.3 Revenues from Transportation of Gas of Others Through Distribution Facilities, 489.4 Revenues from Storing Gas of Others, 490 Sales of Prod. Ext. from Natural Gas, 491 Revenues from Natural Gas Proc. by Others, 492 Incidental Gasoline and Oil Sales, 493 Rent from Gas Property, 494 Interdepartmental Rents, 495 Other Gas Revenues and 496 (Less) Provision for Rate Refunds.</t>
  </si>
  <si>
    <t>INVESTOR OWNED GAS UTILITY REGULATORY FEE CALCULATION SCHEDULE 1</t>
  </si>
  <si>
    <t>PUGET SOUND ENERGY-ELECTRIC</t>
  </si>
  <si>
    <t>WUTC FILING FEE &amp; EXCISE TAX</t>
  </si>
  <si>
    <t>PUGET SOUND ENERGY-GAS</t>
  </si>
  <si>
    <t>CO object name</t>
  </si>
  <si>
    <t>&lt;= Need to Add Back</t>
  </si>
  <si>
    <t>Accrue Wutc Electric Utility Fee</t>
  </si>
  <si>
    <t>Accrue Wutc Gas Utility Fee</t>
  </si>
  <si>
    <t>Order Group "456"</t>
  </si>
  <si>
    <t>WA Excise TAX REFUND</t>
  </si>
  <si>
    <t>Orders</t>
  </si>
  <si>
    <t>12 Months</t>
  </si>
  <si>
    <t>No True-up</t>
  </si>
  <si>
    <t>STATE USE TAX RATE ON ALL GAS USE</t>
  </si>
  <si>
    <t xml:space="preserve">1.  Remove True-ups related to June 2017 (reported in July 2017) </t>
  </si>
  <si>
    <t>2.  Add True-ups related to June 2018 (reported in July 2018)</t>
  </si>
  <si>
    <t>OPC WA DEPT. OF REVENUE||-Park,Monica</t>
  </si>
  <si>
    <t>REI MATTHEW BENDER &amp;CO|||-Park,Monica</t>
  </si>
  <si>
    <t>WA DEPT. OF REVENUE||||||-Park,Monica</t>
  </si>
  <si>
    <t xml:space="preserve">   45600006  Other Electric Re</t>
  </si>
  <si>
    <t xml:space="preserve">   45600026  INTOLIGHT Service</t>
  </si>
  <si>
    <t xml:space="preserve">   45600028  4210 DBU-Other El</t>
  </si>
  <si>
    <t xml:space="preserve">   45600033  CLSD- 4001 - PCS</t>
  </si>
  <si>
    <t xml:space="preserve">   45600073  3545 - Green Ener</t>
  </si>
  <si>
    <t xml:space="preserve">   45600077  3515- Other Reven</t>
  </si>
  <si>
    <t xml:space="preserve">   45600078  Other Elect Reven</t>
  </si>
  <si>
    <t xml:space="preserve">   45600079  Biogas Principal</t>
  </si>
  <si>
    <t xml:space="preserve">   45600080  Othr Elect Rev -</t>
  </si>
  <si>
    <t xml:space="preserve">   45600081  Othr Elect Rev -</t>
  </si>
  <si>
    <t xml:space="preserve">   45600082  Oth Elec Rev- Ced</t>
  </si>
  <si>
    <t xml:space="preserve">   45600088  1143 - Other Elec</t>
  </si>
  <si>
    <t xml:space="preserve">   45600089  1143 - REC Revenu</t>
  </si>
  <si>
    <t xml:space="preserve">   45600102  E Decoup Rev Sch</t>
  </si>
  <si>
    <t xml:space="preserve">   45600103  E Decoup Rev Sch</t>
  </si>
  <si>
    <t xml:space="preserve">   45600104  E Decoup Rev Sch</t>
  </si>
  <si>
    <t xml:space="preserve">   45600105  E Decoup Rev Sch</t>
  </si>
  <si>
    <t xml:space="preserve">   45600106  E Decoup Rev Sch</t>
  </si>
  <si>
    <t xml:space="preserve">   45600107  E Dcp Rev Sc 7A,</t>
  </si>
  <si>
    <t xml:space="preserve">   45600108  E Decoup Rev Sch</t>
  </si>
  <si>
    <t xml:space="preserve">   45600109  E Decoup Rev Sch</t>
  </si>
  <si>
    <t xml:space="preserve">   45600110  E Decoup Rev Sch</t>
  </si>
  <si>
    <t xml:space="preserve">   45600139  E Decoup Amort of</t>
  </si>
  <si>
    <t xml:space="preserve">   45600141  E Dcp Amort Sch 1</t>
  </si>
  <si>
    <t xml:space="preserve">   45600142  E Decoup Amort of</t>
  </si>
  <si>
    <t xml:space="preserve">   45600143  E FPC Decoup Amor</t>
  </si>
  <si>
    <t xml:space="preserve">   45600144  E FPC Decoup Amor</t>
  </si>
  <si>
    <t xml:space="preserve">   45600146  E FPC Decoup Amor</t>
  </si>
  <si>
    <t xml:space="preserve">   45600147  E FPC Decoup Amor</t>
  </si>
  <si>
    <t xml:space="preserve">   45600148  E FPC Decoup Amor</t>
  </si>
  <si>
    <t xml:space="preserve">   45600149  E Decoup Amort Sc</t>
  </si>
  <si>
    <t xml:space="preserve">   45600151  E FPC Decoup Amor</t>
  </si>
  <si>
    <t xml:space="preserve">   45600160  5019 - Sumas DeMi</t>
  </si>
  <si>
    <t xml:space="preserve">   45600310  1255 - Other Misc</t>
  </si>
  <si>
    <t xml:space="preserve">   45600321  9900-Electric Res</t>
  </si>
  <si>
    <t xml:space="preserve">   45600322  9900 - Electric R</t>
  </si>
  <si>
    <t xml:space="preserve">   45600323  9900-Elec NonResi</t>
  </si>
  <si>
    <t xml:space="preserve">   45600325  Electric Schedule</t>
  </si>
  <si>
    <t xml:space="preserve">   45600326  Electric Schedule</t>
  </si>
  <si>
    <t xml:space="preserve">   45600329  9900 - Other Elec</t>
  </si>
  <si>
    <t xml:space="preserve">   45600330  9900 - Electric R</t>
  </si>
  <si>
    <t xml:space="preserve">   45600331  9900-Elec Non-Res</t>
  </si>
  <si>
    <t xml:space="preserve">   45600332  9900 - Electric R</t>
  </si>
  <si>
    <t xml:space="preserve">   45600335  Amort of Sch 142</t>
  </si>
  <si>
    <t xml:space="preserve">   45600336  Amort of Sch 142</t>
  </si>
  <si>
    <t xml:space="preserve">   45600337  9900 - Electric R</t>
  </si>
  <si>
    <t xml:space="preserve">   45600338  9900 - Electric R</t>
  </si>
  <si>
    <t xml:space="preserve">   45600351  9900-Lifetime O&amp;M</t>
  </si>
  <si>
    <t xml:space="preserve">   45600361  9900-Amort of Sch</t>
  </si>
  <si>
    <t xml:space="preserve">   45600371  9900-Amort of Sch</t>
  </si>
  <si>
    <t xml:space="preserve">   45600381  9900 - Electric R</t>
  </si>
  <si>
    <t>*  Other Electric Revenues</t>
  </si>
  <si>
    <t>12MOE June 2018</t>
  </si>
  <si>
    <t>FOR THE TWELVE MONTHS ENDED JUN 30, 2018</t>
  </si>
  <si>
    <t>JUNE 2018 ERF</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</si>
</sst>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Red]\(#,##0\);&quot; &quot;"/>
    <numFmt numFmtId="167" formatCode="_(* #,##0.000_);_(* \(#,##0.000\);_(* &quot;-&quot;??_);_(@_)"/>
    <numFmt numFmtId="168" formatCode="0.0%"/>
  </numFmts>
  <fonts count="21" x14ac:knownFonts="1">
    <font>
      <sz val="11"/>
      <color theme="1"/>
      <name val="Calibri"/>
      <family val="2"/>
      <scheme val="minor"/>
    </font>
    <font>
      <sz val="11"/>
      <color theme="1"/>
      <name val="Calibri"/>
      <family val="2"/>
      <scheme val="minor"/>
    </font>
    <font>
      <sz val="10"/>
      <name val="Arial"/>
      <family val="2"/>
    </font>
    <font>
      <sz val="10"/>
      <name val="Times New Roman"/>
      <family val="1"/>
    </font>
    <font>
      <b/>
      <sz val="10"/>
      <name val="Times New Roman"/>
      <family val="1"/>
    </font>
    <font>
      <sz val="11"/>
      <name val="Arial"/>
      <family val="2"/>
    </font>
    <font>
      <sz val="11"/>
      <name val="Times New Roman"/>
      <family val="1"/>
    </font>
    <font>
      <sz val="10"/>
      <name val="Arial"/>
      <family val="2"/>
    </font>
    <font>
      <b/>
      <u/>
      <sz val="10"/>
      <name val="Arial"/>
      <family val="2"/>
    </font>
    <font>
      <b/>
      <u/>
      <sz val="10"/>
      <color theme="1"/>
      <name val="Arial"/>
      <family val="2"/>
    </font>
    <font>
      <b/>
      <sz val="10"/>
      <name val="Arial"/>
      <family val="2"/>
    </font>
    <font>
      <sz val="9"/>
      <name val="Arial"/>
      <family val="2"/>
    </font>
    <font>
      <sz val="8"/>
      <name val="Arial"/>
      <family val="2"/>
    </font>
    <font>
      <sz val="7.5"/>
      <name val="Arial"/>
      <family val="2"/>
    </font>
    <font>
      <u/>
      <sz val="10"/>
      <color indexed="12"/>
      <name val="Arial"/>
      <family val="2"/>
    </font>
    <font>
      <sz val="9"/>
      <color theme="1"/>
      <name val="Arial"/>
      <family val="2"/>
    </font>
    <font>
      <b/>
      <sz val="11"/>
      <color theme="1"/>
      <name val="Calibri"/>
      <family val="2"/>
      <scheme val="minor"/>
    </font>
    <font>
      <b/>
      <sz val="11"/>
      <color theme="1"/>
      <name val="Calibri"/>
      <family val="2"/>
    </font>
    <font>
      <b/>
      <u/>
      <sz val="11"/>
      <color theme="1"/>
      <name val="Calibri"/>
      <family val="2"/>
    </font>
    <font>
      <sz val="10"/>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rgb="FFCCFF33"/>
        <bgColor indexed="64"/>
      </patternFill>
    </fill>
    <fill>
      <patternFill patternType="solid">
        <fgColor theme="2"/>
        <bgColor indexed="64"/>
      </patternFill>
    </fill>
  </fills>
  <borders count="25">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7" fillId="0" borderId="0"/>
    <xf numFmtId="43" fontId="7" fillId="0" borderId="0" applyFont="0" applyFill="0" applyBorder="0" applyAlignment="0" applyProtection="0"/>
    <xf numFmtId="0" fontId="2" fillId="0" borderId="0"/>
    <xf numFmtId="0" fontId="7" fillId="0" borderId="0"/>
    <xf numFmtId="44" fontId="1" fillId="0" borderId="0" applyFont="0" applyFill="0" applyBorder="0" applyAlignment="0" applyProtection="0"/>
    <xf numFmtId="44" fontId="2" fillId="0" borderId="0" applyFont="0" applyFill="0" applyBorder="0" applyAlignment="0" applyProtection="0"/>
    <xf numFmtId="0" fontId="14" fillId="0" borderId="0" applyNumberFormat="0" applyFill="0" applyBorder="0" applyAlignment="0" applyProtection="0">
      <alignment vertical="top"/>
      <protection locked="0"/>
    </xf>
    <xf numFmtId="0" fontId="1" fillId="0" borderId="0"/>
    <xf numFmtId="9" fontId="2" fillId="0" borderId="0" applyFont="0" applyFill="0" applyBorder="0" applyAlignment="0" applyProtection="0"/>
    <xf numFmtId="0" fontId="5" fillId="0" borderId="0"/>
    <xf numFmtId="0" fontId="19" fillId="0" borderId="0"/>
  </cellStyleXfs>
  <cellXfs count="181">
    <xf numFmtId="0" fontId="0" fillId="0" borderId="0" xfId="0"/>
    <xf numFmtId="3" fontId="3" fillId="0" borderId="0" xfId="1" applyNumberFormat="1" applyFont="1" applyFill="1" applyBorder="1" applyAlignment="1"/>
    <xf numFmtId="41" fontId="3" fillId="0" borderId="0" xfId="0" applyNumberFormat="1" applyFont="1" applyFill="1" applyBorder="1"/>
    <xf numFmtId="0" fontId="3" fillId="0" borderId="0" xfId="0" applyFont="1" applyFill="1" applyBorder="1" applyAlignment="1"/>
    <xf numFmtId="0" fontId="5" fillId="0" borderId="0" xfId="0" applyFont="1" applyFill="1" applyBorder="1"/>
    <xf numFmtId="0" fontId="4" fillId="0" borderId="0" xfId="0" applyFont="1" applyFill="1" applyBorder="1" applyAlignment="1"/>
    <xf numFmtId="0" fontId="6" fillId="0" borderId="0" xfId="0" applyFont="1" applyFill="1" applyBorder="1"/>
    <xf numFmtId="42" fontId="3" fillId="0" borderId="0" xfId="0" applyNumberFormat="1" applyFont="1" applyFill="1" applyBorder="1"/>
    <xf numFmtId="0" fontId="4" fillId="0" borderId="0" xfId="0" applyFont="1" applyFill="1" applyBorder="1" applyAlignment="1">
      <alignment horizontal="centerContinuous" vertical="center" wrapText="1"/>
    </xf>
    <xf numFmtId="0" fontId="4" fillId="0" borderId="0" xfId="0" applyFont="1" applyFill="1" applyBorder="1" applyAlignment="1" applyProtection="1">
      <protection locked="0"/>
    </xf>
    <xf numFmtId="0" fontId="4" fillId="0" borderId="0" xfId="0" applyFont="1" applyFill="1" applyBorder="1" applyAlignment="1">
      <alignment horizontal="center"/>
    </xf>
    <xf numFmtId="41" fontId="4" fillId="0" borderId="0"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pplyProtection="1">
      <protection locked="0"/>
    </xf>
    <xf numFmtId="41" fontId="4" fillId="0" borderId="1" xfId="0" applyNumberFormat="1"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xf>
    <xf numFmtId="0" fontId="3" fillId="0" borderId="0" xfId="2" applyNumberFormat="1" applyFont="1" applyFill="1" applyBorder="1" applyAlignment="1" applyProtection="1">
      <protection locked="0"/>
    </xf>
    <xf numFmtId="164" fontId="3" fillId="0" borderId="0" xfId="0" applyNumberFormat="1" applyFont="1" applyFill="1" applyBorder="1"/>
    <xf numFmtId="0" fontId="3" fillId="0" borderId="0" xfId="0" applyNumberFormat="1" applyFont="1" applyFill="1" applyBorder="1" applyAlignment="1" applyProtection="1">
      <protection locked="0"/>
    </xf>
    <xf numFmtId="164" fontId="3" fillId="0" borderId="1" xfId="0" applyNumberFormat="1" applyFont="1" applyFill="1" applyBorder="1"/>
    <xf numFmtId="41" fontId="3" fillId="0" borderId="0" xfId="2" applyNumberFormat="1" applyFont="1" applyFill="1" applyBorder="1" applyProtection="1">
      <protection locked="0"/>
    </xf>
    <xf numFmtId="164" fontId="6" fillId="0" borderId="0" xfId="0" applyNumberFormat="1" applyFont="1" applyFill="1" applyBorder="1"/>
    <xf numFmtId="0" fontId="3" fillId="0" borderId="0" xfId="0" applyFont="1" applyFill="1" applyBorder="1" applyAlignment="1">
      <alignment horizontal="left"/>
    </xf>
    <xf numFmtId="41" fontId="3" fillId="0" borderId="0" xfId="0" applyNumberFormat="1" applyFont="1" applyFill="1" applyBorder="1" applyAlignment="1"/>
    <xf numFmtId="41" fontId="3" fillId="0" borderId="0" xfId="0" applyNumberFormat="1" applyFont="1" applyFill="1" applyBorder="1" applyAlignment="1" applyProtection="1">
      <protection locked="0"/>
    </xf>
    <xf numFmtId="42" fontId="3" fillId="0" borderId="2" xfId="0" applyNumberFormat="1" applyFont="1" applyFill="1" applyBorder="1" applyAlignment="1"/>
    <xf numFmtId="0" fontId="0" fillId="0" borderId="0" xfId="0" applyFill="1"/>
    <xf numFmtId="0" fontId="0" fillId="0" borderId="0" xfId="0" applyFill="1" applyAlignment="1">
      <alignment vertical="top"/>
    </xf>
    <xf numFmtId="43" fontId="0" fillId="0" borderId="0" xfId="1" applyFont="1" applyFill="1" applyAlignment="1">
      <alignment vertical="top"/>
    </xf>
    <xf numFmtId="0" fontId="7" fillId="0" borderId="0" xfId="9" applyFill="1" applyBorder="1" applyAlignment="1">
      <alignment vertical="top"/>
    </xf>
    <xf numFmtId="43" fontId="0" fillId="0" borderId="0" xfId="10" applyFont="1" applyFill="1" applyBorder="1" applyAlignment="1">
      <alignment vertical="top"/>
    </xf>
    <xf numFmtId="0" fontId="10" fillId="0" borderId="0" xfId="12" applyFont="1" applyFill="1" applyBorder="1"/>
    <xf numFmtId="14" fontId="10" fillId="0" borderId="0" xfId="12" applyNumberFormat="1" applyFont="1" applyFill="1" applyBorder="1" applyAlignment="1">
      <alignment horizontal="right"/>
    </xf>
    <xf numFmtId="0" fontId="7" fillId="0" borderId="0" xfId="9" applyFill="1" applyAlignment="1">
      <alignment vertical="top"/>
    </xf>
    <xf numFmtId="43" fontId="0" fillId="0" borderId="0" xfId="10" applyFont="1" applyFill="1" applyAlignment="1">
      <alignment vertical="top"/>
    </xf>
    <xf numFmtId="43" fontId="2" fillId="0" borderId="4" xfId="1" applyFont="1" applyFill="1" applyBorder="1"/>
    <xf numFmtId="43" fontId="2" fillId="0" borderId="5" xfId="1" applyFont="1" applyFill="1" applyBorder="1"/>
    <xf numFmtId="43" fontId="2" fillId="0" borderId="4" xfId="1" applyFont="1" applyFill="1" applyBorder="1" applyAlignment="1">
      <alignment horizontal="centerContinuous"/>
    </xf>
    <xf numFmtId="43" fontId="2" fillId="0" borderId="5" xfId="1" applyFont="1" applyFill="1" applyBorder="1" applyAlignment="1">
      <alignment horizontal="centerContinuous"/>
    </xf>
    <xf numFmtId="43" fontId="2" fillId="0" borderId="4" xfId="1" applyFont="1" applyFill="1" applyBorder="1" applyAlignment="1">
      <alignment horizontal="left"/>
    </xf>
    <xf numFmtId="0" fontId="2" fillId="0" borderId="0" xfId="11" applyFont="1" applyFill="1"/>
    <xf numFmtId="43" fontId="2" fillId="0" borderId="6" xfId="1" applyFont="1" applyFill="1" applyBorder="1" applyAlignment="1">
      <alignment horizontal="centerContinuous"/>
    </xf>
    <xf numFmtId="43" fontId="2" fillId="0" borderId="7" xfId="1" applyFont="1" applyFill="1" applyBorder="1" applyAlignment="1">
      <alignment horizontal="centerContinuous"/>
    </xf>
    <xf numFmtId="0" fontId="7" fillId="0" borderId="3" xfId="9" applyFill="1" applyBorder="1" applyAlignment="1">
      <alignment vertical="top"/>
    </xf>
    <xf numFmtId="43" fontId="0" fillId="0" borderId="3" xfId="10" applyFont="1" applyFill="1" applyBorder="1" applyAlignment="1">
      <alignment vertical="top"/>
    </xf>
    <xf numFmtId="10" fontId="2" fillId="0" borderId="8" xfId="8" applyNumberFormat="1" applyFont="1" applyFill="1" applyBorder="1" applyAlignment="1">
      <alignment horizontal="center"/>
    </xf>
    <xf numFmtId="10" fontId="2" fillId="0" borderId="9" xfId="8" applyNumberFormat="1" applyFont="1" applyFill="1" applyBorder="1" applyAlignment="1">
      <alignment horizontal="center"/>
    </xf>
    <xf numFmtId="0" fontId="8" fillId="0" borderId="0" xfId="12" applyFont="1" applyFill="1"/>
    <xf numFmtId="0" fontId="2" fillId="0" borderId="0" xfId="12" applyFont="1" applyFill="1"/>
    <xf numFmtId="14" fontId="7" fillId="0" borderId="0" xfId="9" applyNumberFormat="1" applyFill="1" applyAlignment="1">
      <alignment horizontal="right" vertical="top"/>
    </xf>
    <xf numFmtId="43" fontId="0" fillId="0" borderId="0" xfId="10" applyFont="1" applyFill="1" applyAlignment="1">
      <alignment horizontal="right" vertical="top"/>
    </xf>
    <xf numFmtId="0" fontId="9" fillId="0" borderId="0" xfId="0" applyFont="1" applyFill="1"/>
    <xf numFmtId="0" fontId="10" fillId="0" borderId="0" xfId="12" applyFont="1" applyFill="1"/>
    <xf numFmtId="10" fontId="2" fillId="0" borderId="11" xfId="8" applyNumberFormat="1" applyFont="1" applyFill="1" applyBorder="1" applyAlignment="1">
      <alignment horizontal="center"/>
    </xf>
    <xf numFmtId="43" fontId="2" fillId="0" borderId="0" xfId="1" applyFont="1" applyFill="1" applyBorder="1" applyAlignment="1">
      <alignment horizontal="center"/>
    </xf>
    <xf numFmtId="0" fontId="2" fillId="0" borderId="12" xfId="11" applyFont="1" applyFill="1" applyBorder="1" applyAlignment="1">
      <alignment horizontal="center"/>
    </xf>
    <xf numFmtId="43" fontId="2" fillId="0" borderId="13" xfId="1" applyFont="1" applyFill="1" applyBorder="1" applyAlignment="1">
      <alignment horizontal="center"/>
    </xf>
    <xf numFmtId="43" fontId="7" fillId="0" borderId="14" xfId="9" applyNumberFormat="1" applyFill="1" applyBorder="1" applyAlignment="1">
      <alignment vertical="top"/>
    </xf>
    <xf numFmtId="0" fontId="7" fillId="0" borderId="10" xfId="9" applyFill="1" applyBorder="1" applyAlignment="1">
      <alignment vertical="top"/>
    </xf>
    <xf numFmtId="0" fontId="7" fillId="0" borderId="14" xfId="9" applyFill="1" applyBorder="1" applyAlignment="1">
      <alignment vertical="top"/>
    </xf>
    <xf numFmtId="0" fontId="0" fillId="0" borderId="10" xfId="0" applyFill="1" applyBorder="1"/>
    <xf numFmtId="0" fontId="0" fillId="0" borderId="14" xfId="0" applyFill="1" applyBorder="1"/>
    <xf numFmtId="43" fontId="0" fillId="0" borderId="10" xfId="0" applyNumberFormat="1" applyFill="1" applyBorder="1"/>
    <xf numFmtId="43" fontId="0" fillId="0" borderId="14" xfId="1" applyFont="1" applyFill="1" applyBorder="1"/>
    <xf numFmtId="43" fontId="0" fillId="0" borderId="10" xfId="1" applyFont="1" applyFill="1" applyBorder="1"/>
    <xf numFmtId="43" fontId="7" fillId="0" borderId="14" xfId="1" applyFont="1" applyFill="1" applyBorder="1" applyAlignment="1">
      <alignment vertical="top"/>
    </xf>
    <xf numFmtId="43" fontId="7" fillId="0" borderId="10" xfId="1" applyFont="1" applyFill="1" applyBorder="1" applyAlignment="1">
      <alignment vertical="top"/>
    </xf>
    <xf numFmtId="43" fontId="0" fillId="0" borderId="14" xfId="0" applyNumberFormat="1" applyFill="1" applyBorder="1"/>
    <xf numFmtId="43" fontId="7" fillId="0" borderId="10" xfId="9" applyNumberFormat="1" applyFill="1" applyBorder="1" applyAlignment="1">
      <alignment vertical="top"/>
    </xf>
    <xf numFmtId="43" fontId="2" fillId="0" borderId="4" xfId="1" applyFont="1" applyFill="1" applyBorder="1" applyAlignment="1">
      <alignment horizontal="center"/>
    </xf>
    <xf numFmtId="43" fontId="2" fillId="0" borderId="5" xfId="1" applyFont="1" applyFill="1" applyBorder="1" applyAlignment="1">
      <alignment horizontal="center"/>
    </xf>
    <xf numFmtId="43" fontId="2" fillId="0" borderId="14" xfId="1" applyFont="1" applyFill="1" applyBorder="1" applyAlignment="1">
      <alignment horizontal="center"/>
    </xf>
    <xf numFmtId="43" fontId="2" fillId="0" borderId="10" xfId="1" applyFont="1" applyFill="1" applyBorder="1" applyAlignment="1">
      <alignment horizontal="center"/>
    </xf>
    <xf numFmtId="43" fontId="2" fillId="0" borderId="12" xfId="1" applyFont="1" applyFill="1" applyBorder="1" applyAlignment="1">
      <alignment horizontal="center"/>
    </xf>
    <xf numFmtId="43" fontId="0" fillId="0" borderId="0" xfId="1" applyFont="1"/>
    <xf numFmtId="166" fontId="11" fillId="0" borderId="0" xfId="18" applyNumberFormat="1" applyFont="1" applyFill="1" applyAlignment="1">
      <alignment horizontal="left"/>
    </xf>
    <xf numFmtId="41" fontId="3" fillId="0" borderId="1" xfId="0" applyNumberFormat="1" applyFont="1" applyFill="1" applyBorder="1"/>
    <xf numFmtId="165" fontId="11" fillId="0" borderId="15" xfId="3" applyNumberFormat="1" applyFont="1" applyFill="1" applyBorder="1"/>
    <xf numFmtId="43" fontId="2" fillId="0" borderId="16" xfId="1" applyFont="1" applyFill="1" applyBorder="1" applyAlignment="1">
      <alignment horizontal="center"/>
    </xf>
    <xf numFmtId="0" fontId="7" fillId="0" borderId="16" xfId="9" applyFill="1" applyBorder="1" applyAlignment="1">
      <alignment vertical="top"/>
    </xf>
    <xf numFmtId="0" fontId="7" fillId="0" borderId="16" xfId="9" applyFill="1" applyBorder="1" applyAlignment="1">
      <alignment horizontal="center" vertical="top"/>
    </xf>
    <xf numFmtId="0" fontId="7" fillId="0" borderId="13" xfId="9" applyFill="1" applyBorder="1" applyAlignment="1">
      <alignment vertical="top"/>
    </xf>
    <xf numFmtId="3" fontId="4" fillId="0" borderId="0" xfId="1" applyNumberFormat="1" applyFont="1" applyFill="1" applyBorder="1" applyAlignment="1">
      <alignment horizontal="centerContinuous"/>
    </xf>
    <xf numFmtId="3" fontId="3" fillId="0" borderId="0" xfId="1" applyNumberFormat="1" applyFont="1" applyFill="1" applyBorder="1" applyAlignment="1">
      <alignment horizontal="centerContinuous"/>
    </xf>
    <xf numFmtId="41" fontId="3" fillId="0" borderId="0" xfId="0" applyNumberFormat="1" applyFont="1" applyFill="1" applyBorder="1" applyAlignment="1">
      <alignment horizontal="centerContinuous"/>
    </xf>
    <xf numFmtId="0" fontId="3" fillId="0" borderId="0" xfId="0" applyFont="1" applyFill="1" applyBorder="1" applyAlignment="1">
      <alignment horizontal="centerContinuous"/>
    </xf>
    <xf numFmtId="0" fontId="4" fillId="0" borderId="0" xfId="0" applyFont="1" applyFill="1" applyBorder="1" applyAlignment="1">
      <alignment horizontal="centerContinuous"/>
    </xf>
    <xf numFmtId="0" fontId="6" fillId="0" borderId="0" xfId="0" applyFont="1" applyFill="1" applyBorder="1" applyAlignment="1">
      <alignment horizontal="centerContinuous"/>
    </xf>
    <xf numFmtId="0" fontId="0" fillId="0" borderId="0" xfId="0" applyAlignment="1">
      <alignment horizontal="centerContinuous"/>
    </xf>
    <xf numFmtId="42" fontId="3" fillId="0" borderId="0" xfId="0" applyNumberFormat="1" applyFont="1" applyFill="1" applyBorder="1" applyAlignment="1">
      <alignment horizontal="centerContinuous"/>
    </xf>
    <xf numFmtId="0" fontId="5" fillId="0" borderId="0" xfId="0" applyFont="1" applyFill="1" applyBorder="1" applyAlignment="1">
      <alignment horizontal="centerContinuous"/>
    </xf>
    <xf numFmtId="0" fontId="19" fillId="0" borderId="0" xfId="19" applyAlignment="1">
      <alignment vertical="top"/>
    </xf>
    <xf numFmtId="0" fontId="19" fillId="2" borderId="12" xfId="19" applyFill="1" applyBorder="1" applyAlignment="1">
      <alignment vertical="top"/>
    </xf>
    <xf numFmtId="0" fontId="20" fillId="0" borderId="0" xfId="19" applyFont="1" applyAlignment="1">
      <alignment vertical="top"/>
    </xf>
    <xf numFmtId="0" fontId="0" fillId="0" borderId="17" xfId="0" applyBorder="1" applyAlignment="1">
      <alignment vertical="top"/>
    </xf>
    <xf numFmtId="0" fontId="0" fillId="0" borderId="18" xfId="0" applyBorder="1" applyAlignment="1">
      <alignment vertical="top"/>
    </xf>
    <xf numFmtId="4" fontId="0" fillId="0" borderId="19" xfId="0" applyNumberFormat="1" applyBorder="1" applyAlignment="1">
      <alignment horizontal="right" vertical="top"/>
    </xf>
    <xf numFmtId="43" fontId="7" fillId="0" borderId="0" xfId="9" applyNumberFormat="1" applyFill="1" applyAlignment="1">
      <alignment vertical="top"/>
    </xf>
    <xf numFmtId="167" fontId="3" fillId="0" borderId="0" xfId="1" applyNumberFormat="1" applyFont="1" applyFill="1" applyBorder="1"/>
    <xf numFmtId="167" fontId="0" fillId="0" borderId="0" xfId="1" applyNumberFormat="1" applyFont="1" applyFill="1"/>
    <xf numFmtId="167" fontId="6" fillId="0" borderId="0" xfId="1" applyNumberFormat="1" applyFont="1" applyFill="1" applyBorder="1"/>
    <xf numFmtId="167" fontId="0" fillId="0" borderId="0" xfId="1" applyNumberFormat="1" applyFont="1"/>
    <xf numFmtId="164" fontId="3" fillId="0" borderId="0" xfId="1" applyNumberFormat="1" applyFont="1" applyFill="1" applyBorder="1"/>
    <xf numFmtId="164" fontId="3" fillId="0" borderId="1" xfId="1" applyNumberFormat="1" applyFont="1" applyFill="1" applyBorder="1"/>
    <xf numFmtId="164" fontId="3" fillId="0" borderId="0" xfId="1" applyNumberFormat="1" applyFont="1" applyFill="1" applyBorder="1" applyProtection="1">
      <protection locked="0"/>
    </xf>
    <xf numFmtId="164" fontId="6" fillId="0" borderId="0" xfId="1" applyNumberFormat="1" applyFont="1" applyFill="1" applyBorder="1"/>
    <xf numFmtId="164" fontId="3" fillId="0" borderId="0" xfId="1" applyNumberFormat="1" applyFont="1" applyFill="1" applyBorder="1" applyAlignment="1"/>
    <xf numFmtId="164" fontId="3" fillId="0" borderId="0" xfId="1" applyNumberFormat="1" applyFont="1" applyFill="1" applyBorder="1" applyAlignment="1" applyProtection="1">
      <protection locked="0"/>
    </xf>
    <xf numFmtId="164" fontId="3" fillId="0" borderId="2" xfId="1" applyNumberFormat="1" applyFont="1" applyFill="1" applyBorder="1" applyAlignment="1"/>
    <xf numFmtId="14" fontId="7" fillId="0" borderId="3" xfId="9" applyNumberFormat="1" applyFill="1" applyBorder="1" applyAlignment="1">
      <alignment horizontal="right" vertical="top"/>
    </xf>
    <xf numFmtId="43" fontId="0" fillId="0" borderId="8" xfId="10" applyFont="1" applyFill="1" applyBorder="1" applyAlignment="1">
      <alignment horizontal="right" vertical="top"/>
    </xf>
    <xf numFmtId="14" fontId="0" fillId="0" borderId="0" xfId="0" applyNumberFormat="1" applyFill="1" applyAlignment="1">
      <alignment horizontal="right" vertical="top"/>
    </xf>
    <xf numFmtId="4" fontId="0" fillId="0" borderId="0" xfId="0" applyNumberFormat="1" applyFill="1" applyAlignment="1">
      <alignment horizontal="right" vertical="top"/>
    </xf>
    <xf numFmtId="43" fontId="0" fillId="0" borderId="3" xfId="10" applyFont="1" applyFill="1" applyBorder="1" applyAlignment="1">
      <alignment horizontal="right" vertical="top"/>
    </xf>
    <xf numFmtId="0" fontId="0" fillId="0" borderId="3" xfId="0" applyFill="1" applyBorder="1" applyAlignment="1">
      <alignment vertical="top"/>
    </xf>
    <xf numFmtId="14" fontId="0" fillId="0" borderId="3" xfId="0" applyNumberFormat="1" applyFill="1" applyBorder="1" applyAlignment="1">
      <alignment horizontal="right" vertical="top"/>
    </xf>
    <xf numFmtId="4" fontId="0" fillId="0" borderId="3" xfId="0" applyNumberFormat="1" applyFill="1" applyBorder="1" applyAlignment="1">
      <alignment horizontal="right" vertical="top"/>
    </xf>
    <xf numFmtId="0" fontId="16" fillId="0" borderId="0" xfId="0" applyFont="1" applyFill="1" applyAlignment="1">
      <alignment horizontal="centerContinuous"/>
    </xf>
    <xf numFmtId="0" fontId="0" fillId="0" borderId="0" xfId="0" applyFill="1" applyAlignment="1">
      <alignment horizontal="centerContinuous"/>
    </xf>
    <xf numFmtId="0" fontId="0" fillId="0" borderId="0" xfId="0" applyFill="1" applyAlignment="1"/>
    <xf numFmtId="0" fontId="0" fillId="0" borderId="0" xfId="0" applyFill="1" applyAlignment="1">
      <alignment horizontal="left"/>
    </xf>
    <xf numFmtId="0" fontId="0" fillId="0" borderId="0" xfId="0" applyFill="1" applyAlignment="1">
      <alignment horizontal="center"/>
    </xf>
    <xf numFmtId="0" fontId="11" fillId="0" borderId="0" xfId="3" applyFont="1" applyFill="1" applyAlignment="1">
      <alignment horizontal="right"/>
    </xf>
    <xf numFmtId="42" fontId="11" fillId="0" borderId="3" xfId="3" applyNumberFormat="1" applyFont="1" applyFill="1" applyBorder="1" applyProtection="1">
      <protection locked="0"/>
    </xf>
    <xf numFmtId="0" fontId="11" fillId="0" borderId="3" xfId="3" applyFont="1" applyFill="1" applyBorder="1" applyAlignment="1" applyProtection="1">
      <alignment horizontal="center"/>
      <protection locked="0"/>
    </xf>
    <xf numFmtId="0" fontId="16" fillId="0" borderId="0" xfId="0" applyFont="1" applyFill="1"/>
    <xf numFmtId="165" fontId="11" fillId="0" borderId="13" xfId="3" applyNumberFormat="1" applyFont="1" applyFill="1" applyBorder="1"/>
    <xf numFmtId="0" fontId="11" fillId="0" borderId="8" xfId="3" applyFont="1" applyFill="1" applyBorder="1"/>
    <xf numFmtId="0" fontId="0" fillId="0" borderId="0" xfId="0" applyFill="1" applyAlignment="1">
      <alignment horizontal="right"/>
    </xf>
    <xf numFmtId="165" fontId="11" fillId="0" borderId="3" xfId="3" applyNumberFormat="1" applyFont="1" applyFill="1" applyBorder="1" applyAlignment="1">
      <alignment horizontal="center"/>
    </xf>
    <xf numFmtId="165" fontId="11" fillId="0" borderId="3" xfId="3" applyNumberFormat="1" applyFont="1" applyFill="1" applyBorder="1"/>
    <xf numFmtId="44" fontId="11" fillId="0" borderId="3" xfId="3" applyNumberFormat="1" applyFont="1" applyFill="1" applyBorder="1"/>
    <xf numFmtId="0" fontId="12" fillId="0" borderId="3" xfId="3" applyFont="1" applyFill="1" applyBorder="1" applyAlignment="1">
      <alignment horizontal="center"/>
    </xf>
    <xf numFmtId="0" fontId="13" fillId="0" borderId="3" xfId="3" applyFont="1" applyFill="1" applyBorder="1" applyAlignment="1">
      <alignment horizontal="center"/>
    </xf>
    <xf numFmtId="44" fontId="11" fillId="0" borderId="3" xfId="3" applyNumberFormat="1" applyFont="1" applyFill="1" applyBorder="1" applyProtection="1">
      <protection locked="0"/>
    </xf>
    <xf numFmtId="1" fontId="11" fillId="0" borderId="3" xfId="3" applyNumberFormat="1" applyFont="1" applyFill="1" applyBorder="1" applyProtection="1">
      <protection locked="0"/>
    </xf>
    <xf numFmtId="43" fontId="0" fillId="0" borderId="0" xfId="1" applyFont="1" applyFill="1"/>
    <xf numFmtId="0" fontId="0" fillId="0" borderId="0" xfId="0" applyFill="1" applyAlignment="1">
      <alignment wrapText="1"/>
    </xf>
    <xf numFmtId="43" fontId="16" fillId="0" borderId="0" xfId="1" applyFont="1" applyFill="1"/>
    <xf numFmtId="164" fontId="0" fillId="0" borderId="2" xfId="0" applyNumberFormat="1" applyFill="1" applyBorder="1"/>
    <xf numFmtId="0" fontId="0" fillId="0" borderId="0" xfId="0" applyFill="1" applyBorder="1"/>
    <xf numFmtId="42" fontId="11" fillId="3" borderId="3" xfId="3" applyNumberFormat="1" applyFont="1" applyFill="1" applyBorder="1" applyProtection="1">
      <protection locked="0"/>
    </xf>
    <xf numFmtId="0" fontId="7" fillId="5" borderId="0" xfId="9" applyFill="1" applyAlignment="1">
      <alignment horizontal="left" vertical="top"/>
    </xf>
    <xf numFmtId="14" fontId="7" fillId="5" borderId="0" xfId="9" applyNumberFormat="1" applyFill="1" applyAlignment="1">
      <alignment horizontal="right" vertical="top"/>
    </xf>
    <xf numFmtId="43" fontId="0" fillId="5" borderId="0" xfId="10" applyFont="1" applyFill="1" applyAlignment="1">
      <alignment horizontal="right" vertical="top"/>
    </xf>
    <xf numFmtId="43" fontId="7" fillId="5" borderId="14" xfId="9" applyNumberFormat="1" applyFill="1" applyBorder="1" applyAlignment="1">
      <alignment vertical="top"/>
    </xf>
    <xf numFmtId="43" fontId="7" fillId="5" borderId="10" xfId="9" applyNumberFormat="1" applyFill="1" applyBorder="1" applyAlignment="1">
      <alignment vertical="top"/>
    </xf>
    <xf numFmtId="43" fontId="7" fillId="5" borderId="0" xfId="9" applyNumberFormat="1" applyFill="1" applyBorder="1" applyAlignment="1">
      <alignment vertical="top"/>
    </xf>
    <xf numFmtId="0" fontId="7" fillId="5" borderId="10" xfId="9" applyFill="1" applyBorder="1" applyAlignment="1">
      <alignment vertical="top"/>
    </xf>
    <xf numFmtId="4" fontId="0" fillId="5" borderId="0" xfId="0" applyNumberFormat="1" applyFill="1" applyAlignment="1">
      <alignment horizontal="right" vertical="top"/>
    </xf>
    <xf numFmtId="0" fontId="7" fillId="5" borderId="14" xfId="9" applyFill="1" applyBorder="1" applyAlignment="1">
      <alignment vertical="top"/>
    </xf>
    <xf numFmtId="43" fontId="0" fillId="5" borderId="10" xfId="0" applyNumberFormat="1" applyFill="1" applyBorder="1"/>
    <xf numFmtId="4" fontId="7" fillId="5" borderId="10" xfId="9" applyNumberFormat="1" applyFill="1" applyBorder="1" applyAlignment="1">
      <alignment vertical="top"/>
    </xf>
    <xf numFmtId="43" fontId="7" fillId="5" borderId="14" xfId="1" applyFont="1" applyFill="1" applyBorder="1" applyAlignment="1">
      <alignment vertical="top"/>
    </xf>
    <xf numFmtId="43" fontId="7" fillId="5" borderId="10" xfId="1" applyFont="1" applyFill="1" applyBorder="1" applyAlignment="1">
      <alignment vertical="top"/>
    </xf>
    <xf numFmtId="0" fontId="7" fillId="5" borderId="0" xfId="9" applyFill="1" applyAlignment="1">
      <alignment vertical="top"/>
    </xf>
    <xf numFmtId="43" fontId="0" fillId="5" borderId="14" xfId="1" applyFont="1" applyFill="1" applyBorder="1"/>
    <xf numFmtId="43" fontId="0" fillId="5" borderId="10" xfId="1" applyFont="1" applyFill="1" applyBorder="1"/>
    <xf numFmtId="10" fontId="2" fillId="4" borderId="3" xfId="8" applyNumberFormat="1" applyFont="1" applyFill="1" applyBorder="1" applyAlignment="1">
      <alignment horizontal="center"/>
    </xf>
    <xf numFmtId="43" fontId="0" fillId="0" borderId="0" xfId="0" applyNumberFormat="1"/>
    <xf numFmtId="43" fontId="0" fillId="4" borderId="2" xfId="0" applyNumberFormat="1" applyFill="1" applyBorder="1"/>
    <xf numFmtId="168" fontId="3" fillId="0" borderId="0" xfId="0" applyNumberFormat="1" applyFont="1" applyFill="1" applyBorder="1" applyAlignment="1">
      <alignment horizontal="center"/>
    </xf>
    <xf numFmtId="164" fontId="15" fillId="0" borderId="0" xfId="1" applyNumberFormat="1" applyFont="1" applyFill="1" applyAlignment="1">
      <alignment horizontal="right"/>
    </xf>
    <xf numFmtId="0" fontId="2" fillId="0" borderId="0" xfId="9" applyFont="1" applyFill="1" applyAlignment="1">
      <alignment vertical="top"/>
    </xf>
    <xf numFmtId="0" fontId="19" fillId="0" borderId="17" xfId="19" applyBorder="1" applyAlignment="1">
      <alignment vertical="top"/>
    </xf>
    <xf numFmtId="0" fontId="19" fillId="0" borderId="18" xfId="19" applyBorder="1" applyAlignment="1">
      <alignment vertical="top"/>
    </xf>
    <xf numFmtId="14" fontId="19" fillId="0" borderId="18" xfId="19" applyNumberFormat="1" applyBorder="1" applyAlignment="1">
      <alignment vertical="top"/>
    </xf>
    <xf numFmtId="0" fontId="19" fillId="0" borderId="20" xfId="19" applyBorder="1" applyAlignment="1">
      <alignment vertical="top"/>
    </xf>
    <xf numFmtId="0" fontId="19" fillId="0" borderId="0" xfId="19" applyBorder="1" applyAlignment="1">
      <alignment vertical="top"/>
    </xf>
    <xf numFmtId="14" fontId="19" fillId="0" borderId="0" xfId="19" applyNumberFormat="1" applyBorder="1" applyAlignment="1">
      <alignment vertical="top"/>
    </xf>
    <xf numFmtId="0" fontId="19" fillId="0" borderId="22" xfId="19" applyBorder="1" applyAlignment="1">
      <alignment vertical="top"/>
    </xf>
    <xf numFmtId="0" fontId="19" fillId="0" borderId="23" xfId="19" applyBorder="1" applyAlignment="1">
      <alignment vertical="top"/>
    </xf>
    <xf numFmtId="14" fontId="19" fillId="0" borderId="23" xfId="19" applyNumberFormat="1" applyBorder="1" applyAlignment="1">
      <alignment vertical="top"/>
    </xf>
    <xf numFmtId="4" fontId="10" fillId="0" borderId="0" xfId="19" applyNumberFormat="1" applyFont="1" applyAlignment="1">
      <alignment vertical="top"/>
    </xf>
    <xf numFmtId="43" fontId="19" fillId="0" borderId="21" xfId="1" applyFont="1" applyBorder="1" applyAlignment="1">
      <alignment vertical="top"/>
    </xf>
    <xf numFmtId="43" fontId="19" fillId="0" borderId="24" xfId="1" applyFont="1" applyBorder="1" applyAlignment="1">
      <alignment vertical="top"/>
    </xf>
    <xf numFmtId="43" fontId="19" fillId="0" borderId="19" xfId="1" applyFont="1" applyBorder="1" applyAlignment="1">
      <alignment vertical="top"/>
    </xf>
    <xf numFmtId="43" fontId="0" fillId="0" borderId="19" xfId="1" applyFont="1" applyBorder="1" applyAlignment="1">
      <alignment horizontal="right" vertical="top"/>
    </xf>
    <xf numFmtId="49" fontId="0" fillId="0" borderId="16" xfId="0" applyNumberFormat="1" applyFill="1" applyBorder="1" applyAlignment="1">
      <alignment horizontal="left"/>
    </xf>
    <xf numFmtId="43" fontId="0" fillId="0" borderId="16" xfId="1" applyFont="1" applyFill="1" applyBorder="1"/>
  </cellXfs>
  <cellStyles count="20">
    <cellStyle name="Comma" xfId="1" builtinId="3"/>
    <cellStyle name="Comma 15" xfId="6"/>
    <cellStyle name="Comma 2" xfId="10"/>
    <cellStyle name="Currency" xfId="2" builtinId="4"/>
    <cellStyle name="Currency 12" xfId="5"/>
    <cellStyle name="Currency 2" xfId="14"/>
    <cellStyle name="Currency 5" xfId="13"/>
    <cellStyle name="Hyperlink 2" xfId="15"/>
    <cellStyle name="Normal" xfId="0" builtinId="0"/>
    <cellStyle name="Normal 2" xfId="9"/>
    <cellStyle name="Normal 2 2" xfId="3"/>
    <cellStyle name="Normal 3" xfId="16"/>
    <cellStyle name="Normal 4" xfId="19"/>
    <cellStyle name="Normal 48" xfId="12"/>
    <cellStyle name="Normal 50" xfId="4"/>
    <cellStyle name="Normal_Detail" xfId="18"/>
    <cellStyle name="Normal_Excise Taxes - TY Activity in Orders" xfId="11"/>
    <cellStyle name="Percent" xfId="8" builtinId="5"/>
    <cellStyle name="Percent 2" xfId="17"/>
    <cellStyle name="Percent 9" xfId="7"/>
  </cellStyles>
  <dxfs count="0"/>
  <tableStyles count="0" defaultTableStyle="TableStyleMedium2" defaultPivotStyle="PivotStyleLight16"/>
  <colors>
    <mruColors>
      <color rgb="FFCCFF3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595191</xdr:colOff>
      <xdr:row>18</xdr:row>
      <xdr:rowOff>84074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3581400"/>
          <a:ext cx="9579171" cy="29339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W-PSE-WP-SEF-5.07E-6.07G-AllocationMethod-TYJun18CBR-1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W-PSE-WP-SEF-5.03E-6.03G-IncStmt-TYJun18CBR-1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4 &amp; 4.04 Lead"/>
      <sheetName val="E &amp; G RB"/>
      <sheetName val="T&amp;D less Labor"/>
      <sheetName val="SAP DL Downld"/>
      <sheetName val="12ME Jun 18 SAP"/>
      <sheetName val="Meter count Updated"/>
      <sheetName val="Electric"/>
      <sheetName val="Gas"/>
      <sheetName val="Combined-12ME JUN 2018"/>
      <sheetName val="DLReconBBS"/>
      <sheetName val="Elect. Customer Counts Pg 10a"/>
      <sheetName val="Gas Customer Counts Pg 10b"/>
    </sheetNames>
    <sheetDataSet>
      <sheetData sheetId="0">
        <row r="8">
          <cell r="E8">
            <v>1142155</v>
          </cell>
        </row>
        <row r="35">
          <cell r="E35">
            <v>0.65449999999999997</v>
          </cell>
          <cell r="F35">
            <v>0.34549999999999997</v>
          </cell>
        </row>
      </sheetData>
      <sheetData sheetId="1"/>
      <sheetData sheetId="2"/>
      <sheetData sheetId="3">
        <row r="15">
          <cell r="H15">
            <v>0.50751477142524026</v>
          </cell>
        </row>
      </sheetData>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ed Summary"/>
      <sheetName val="Unallocated Summary"/>
      <sheetName val="Detail"/>
      <sheetName val="Common by Acct"/>
    </sheetNames>
    <sheetDataSet>
      <sheetData sheetId="0">
        <row r="11">
          <cell r="B11">
            <v>2239474108.7599998</v>
          </cell>
          <cell r="C11">
            <v>934816422.49000001</v>
          </cell>
        </row>
      </sheetData>
      <sheetData sheetId="1"/>
      <sheetData sheetId="2">
        <row r="28">
          <cell r="G28">
            <v>2507056.83</v>
          </cell>
        </row>
        <row r="29">
          <cell r="G29">
            <v>12066284.759999899</v>
          </cell>
        </row>
        <row r="30">
          <cell r="G30">
            <v>18412581.52</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abSelected="1" workbookViewId="0">
      <selection activeCell="D36" sqref="D36"/>
    </sheetView>
  </sheetViews>
  <sheetFormatPr defaultRowHeight="15" x14ac:dyDescent="0.25"/>
  <cols>
    <col min="2" max="2" width="47.140625" bestFit="1" customWidth="1"/>
    <col min="3" max="3" width="11.7109375" bestFit="1" customWidth="1"/>
    <col min="4" max="4" width="14.28515625" bestFit="1" customWidth="1"/>
    <col min="5" max="5" width="13.5703125" bestFit="1" customWidth="1"/>
  </cols>
  <sheetData>
    <row r="1" spans="1:6" x14ac:dyDescent="0.25">
      <c r="A1" s="1"/>
      <c r="B1" s="1"/>
      <c r="C1" s="2"/>
      <c r="D1" s="3"/>
      <c r="F1" s="4"/>
    </row>
    <row r="2" spans="1:6" x14ac:dyDescent="0.25">
      <c r="A2" s="83" t="s">
        <v>123</v>
      </c>
      <c r="B2" s="84"/>
      <c r="C2" s="85"/>
      <c r="D2" s="86"/>
      <c r="E2" s="87"/>
      <c r="F2" s="4"/>
    </row>
    <row r="3" spans="1:6" ht="14.45" x14ac:dyDescent="0.3">
      <c r="A3" s="87" t="s">
        <v>124</v>
      </c>
      <c r="B3" s="87"/>
      <c r="C3" s="85"/>
      <c r="D3" s="88"/>
      <c r="E3" s="89"/>
      <c r="F3" s="4"/>
    </row>
    <row r="4" spans="1:6" ht="14.45" x14ac:dyDescent="0.3">
      <c r="A4" s="83" t="s">
        <v>194</v>
      </c>
      <c r="B4" s="84"/>
      <c r="C4" s="90"/>
      <c r="D4" s="91"/>
      <c r="E4" s="91"/>
      <c r="F4" s="4"/>
    </row>
    <row r="5" spans="1:6" ht="14.45" x14ac:dyDescent="0.3">
      <c r="A5" s="83" t="s">
        <v>195</v>
      </c>
      <c r="B5" s="8"/>
      <c r="C5" s="90"/>
      <c r="D5" s="91"/>
      <c r="E5" s="91"/>
      <c r="F5" s="4"/>
    </row>
    <row r="6" spans="1:6" ht="14.45" x14ac:dyDescent="0.3">
      <c r="A6" s="1"/>
      <c r="B6" s="8"/>
      <c r="C6" s="7"/>
      <c r="D6" s="4"/>
      <c r="E6" s="4"/>
      <c r="F6" s="4"/>
    </row>
    <row r="7" spans="1:6" ht="14.45" x14ac:dyDescent="0.3">
      <c r="A7" s="1"/>
      <c r="B7" s="8"/>
      <c r="C7" s="7"/>
      <c r="D7" s="4"/>
      <c r="E7" s="4"/>
      <c r="F7" s="4"/>
    </row>
    <row r="8" spans="1:6" ht="14.45" x14ac:dyDescent="0.3">
      <c r="A8" s="5"/>
      <c r="B8" s="9"/>
      <c r="C8" s="2"/>
      <c r="D8" s="6"/>
      <c r="E8" s="6"/>
      <c r="F8" s="4"/>
    </row>
    <row r="9" spans="1:6" ht="14.45" x14ac:dyDescent="0.3">
      <c r="A9" s="10" t="s">
        <v>0</v>
      </c>
      <c r="B9" s="5"/>
      <c r="C9" s="11"/>
      <c r="D9" s="6"/>
      <c r="E9" s="6"/>
      <c r="F9" s="4"/>
    </row>
    <row r="10" spans="1:6" ht="14.45" x14ac:dyDescent="0.3">
      <c r="A10" s="12" t="s">
        <v>1</v>
      </c>
      <c r="B10" s="13" t="s">
        <v>2</v>
      </c>
      <c r="C10" s="14" t="s">
        <v>3</v>
      </c>
      <c r="D10" s="12" t="s">
        <v>4</v>
      </c>
      <c r="E10" s="12" t="s">
        <v>5</v>
      </c>
      <c r="F10" s="4"/>
    </row>
    <row r="11" spans="1:6" ht="14.45" x14ac:dyDescent="0.3">
      <c r="A11" s="3"/>
      <c r="B11" s="3"/>
      <c r="C11" s="2"/>
      <c r="D11" s="6"/>
      <c r="E11" s="15"/>
      <c r="F11" s="4"/>
    </row>
    <row r="12" spans="1:6" ht="14.45" x14ac:dyDescent="0.3">
      <c r="A12" s="16">
        <v>1</v>
      </c>
      <c r="B12" s="17" t="s">
        <v>6</v>
      </c>
      <c r="C12" s="2">
        <f>+'TY Excise Tax'!H144</f>
        <v>87921192.234495014</v>
      </c>
      <c r="D12" s="18">
        <f>+'TY Excise Tax'!L144</f>
        <v>87944272.187950015</v>
      </c>
      <c r="E12" s="18">
        <f>D12-C12</f>
        <v>23079.953455001116</v>
      </c>
      <c r="F12" s="4"/>
    </row>
    <row r="13" spans="1:6" ht="14.45" x14ac:dyDescent="0.3">
      <c r="A13" s="16">
        <v>2</v>
      </c>
      <c r="B13" s="19" t="s">
        <v>7</v>
      </c>
      <c r="C13" s="77">
        <f>+'TY Filing Fee'!F16</f>
        <v>4448881.7799999993</v>
      </c>
      <c r="D13" s="20">
        <f>+'E Filing Fee Restated'!F38</f>
        <v>4588723.5443399996</v>
      </c>
      <c r="E13" s="20">
        <f>D13-C13</f>
        <v>139841.76434000023</v>
      </c>
      <c r="F13" s="4"/>
    </row>
    <row r="14" spans="1:6" ht="14.45" x14ac:dyDescent="0.3">
      <c r="A14" s="16">
        <v>3</v>
      </c>
      <c r="B14" s="17" t="s">
        <v>8</v>
      </c>
      <c r="C14" s="21">
        <f>C12+C13</f>
        <v>92370074.014495015</v>
      </c>
      <c r="D14" s="21">
        <f>D12+D13</f>
        <v>92532995.732290015</v>
      </c>
      <c r="E14" s="21">
        <f>E12+E13</f>
        <v>162921.71779500134</v>
      </c>
      <c r="F14" s="4"/>
    </row>
    <row r="15" spans="1:6" ht="14.45" x14ac:dyDescent="0.3">
      <c r="A15" s="16">
        <v>4</v>
      </c>
      <c r="B15" s="17"/>
      <c r="C15" s="2"/>
      <c r="D15" s="22"/>
      <c r="E15" s="22"/>
      <c r="F15" s="4"/>
    </row>
    <row r="16" spans="1:6" ht="14.45" x14ac:dyDescent="0.3">
      <c r="A16" s="16">
        <v>5</v>
      </c>
      <c r="B16" s="23" t="s">
        <v>9</v>
      </c>
      <c r="C16" s="2"/>
      <c r="D16" s="22"/>
      <c r="E16" s="24">
        <f>E14</f>
        <v>162921.71779500134</v>
      </c>
      <c r="F16" s="4"/>
    </row>
    <row r="17" spans="1:6" ht="14.45" x14ac:dyDescent="0.3">
      <c r="A17" s="16">
        <v>6</v>
      </c>
      <c r="B17" s="23" t="s">
        <v>10</v>
      </c>
      <c r="C17" s="162">
        <v>0.28000000000000003</v>
      </c>
      <c r="D17" s="22"/>
      <c r="E17" s="25">
        <f>ROUND(-E16*C17,0)</f>
        <v>-45618</v>
      </c>
      <c r="F17" s="4"/>
    </row>
    <row r="18" spans="1:6" thickBot="1" x14ac:dyDescent="0.35">
      <c r="A18" s="16">
        <v>7</v>
      </c>
      <c r="B18" s="23" t="s">
        <v>11</v>
      </c>
      <c r="C18" s="2"/>
      <c r="D18" s="22"/>
      <c r="E18" s="26">
        <f>-E16-E17</f>
        <v>-117303.71779500134</v>
      </c>
      <c r="F18" s="4"/>
    </row>
    <row r="19" spans="1:6" ht="15.75" thickTop="1" x14ac:dyDescent="0.25">
      <c r="A19" s="16"/>
      <c r="B19" s="1"/>
      <c r="C19" s="2"/>
      <c r="D19" s="6"/>
      <c r="E19" s="6"/>
      <c r="F19" s="4"/>
    </row>
  </sheetData>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D12" sqref="D12"/>
    </sheetView>
  </sheetViews>
  <sheetFormatPr defaultRowHeight="15" x14ac:dyDescent="0.25"/>
  <cols>
    <col min="2" max="2" width="47.140625" bestFit="1" customWidth="1"/>
    <col min="3" max="4" width="12.85546875" bestFit="1" customWidth="1"/>
    <col min="5" max="5" width="13.42578125" bestFit="1" customWidth="1"/>
  </cols>
  <sheetData>
    <row r="1" spans="1:6" x14ac:dyDescent="0.25">
      <c r="A1" s="1"/>
      <c r="B1" s="1"/>
      <c r="C1" s="2"/>
      <c r="D1" s="3"/>
    </row>
    <row r="2" spans="1:6" x14ac:dyDescent="0.25">
      <c r="A2" s="83" t="s">
        <v>125</v>
      </c>
      <c r="B2" s="84"/>
      <c r="C2" s="85"/>
      <c r="D2" s="86"/>
      <c r="E2" s="87"/>
    </row>
    <row r="3" spans="1:6" ht="14.45" x14ac:dyDescent="0.3">
      <c r="A3" s="87" t="s">
        <v>124</v>
      </c>
      <c r="B3" s="87"/>
      <c r="C3" s="85"/>
      <c r="D3" s="88"/>
      <c r="E3" s="89"/>
    </row>
    <row r="4" spans="1:6" x14ac:dyDescent="0.25">
      <c r="A4" s="83" t="str">
        <f>+'Lead E'!A4</f>
        <v>FOR THE TWELVE MONTHS ENDED JUN 30, 2018</v>
      </c>
      <c r="B4" s="84"/>
      <c r="C4" s="90"/>
      <c r="D4" s="91"/>
      <c r="E4" s="91"/>
    </row>
    <row r="5" spans="1:6" ht="14.45" x14ac:dyDescent="0.3">
      <c r="A5" s="83" t="str">
        <f>+'Lead E'!A5</f>
        <v>JUNE 2018 ERF</v>
      </c>
      <c r="B5" s="8"/>
      <c r="C5" s="90"/>
      <c r="D5" s="91"/>
      <c r="E5" s="91"/>
    </row>
    <row r="6" spans="1:6" ht="14.45" x14ac:dyDescent="0.3">
      <c r="A6" s="1"/>
      <c r="B6" s="8"/>
      <c r="C6" s="7"/>
      <c r="D6" s="4"/>
      <c r="E6" s="4"/>
    </row>
    <row r="7" spans="1:6" ht="14.45" x14ac:dyDescent="0.3">
      <c r="A7" s="1"/>
      <c r="B7" s="8"/>
      <c r="C7" s="7"/>
      <c r="D7" s="4"/>
      <c r="E7" s="4"/>
    </row>
    <row r="8" spans="1:6" ht="14.45" x14ac:dyDescent="0.3">
      <c r="A8" s="5"/>
      <c r="B8" s="9"/>
      <c r="C8" s="2"/>
      <c r="D8" s="6"/>
      <c r="E8" s="6"/>
    </row>
    <row r="9" spans="1:6" ht="14.45" x14ac:dyDescent="0.3">
      <c r="A9" s="10" t="s">
        <v>0</v>
      </c>
      <c r="B9" s="5"/>
      <c r="C9" s="11"/>
      <c r="D9" s="6"/>
      <c r="E9" s="6"/>
    </row>
    <row r="10" spans="1:6" ht="14.45" x14ac:dyDescent="0.3">
      <c r="A10" s="12" t="s">
        <v>1</v>
      </c>
      <c r="B10" s="13" t="s">
        <v>2</v>
      </c>
      <c r="C10" s="14" t="s">
        <v>3</v>
      </c>
      <c r="D10" s="12" t="s">
        <v>4</v>
      </c>
      <c r="E10" s="12" t="s">
        <v>5</v>
      </c>
    </row>
    <row r="11" spans="1:6" ht="14.45" x14ac:dyDescent="0.3">
      <c r="A11" s="3"/>
      <c r="B11" s="3"/>
      <c r="C11" s="2"/>
      <c r="D11" s="6"/>
      <c r="E11" s="15"/>
      <c r="F11" s="27"/>
    </row>
    <row r="12" spans="1:6" ht="14.45" x14ac:dyDescent="0.3">
      <c r="A12" s="16">
        <v>1</v>
      </c>
      <c r="B12" s="17" t="s">
        <v>6</v>
      </c>
      <c r="C12" s="103">
        <f>+'TY Excise Tax'!I144</f>
        <v>36569110.575505011</v>
      </c>
      <c r="D12" s="103">
        <f>+'TY Excise Tax'!M144</f>
        <v>36569703.252049997</v>
      </c>
      <c r="E12" s="103">
        <f>D12-C12</f>
        <v>592.67654498666525</v>
      </c>
      <c r="F12" s="100"/>
    </row>
    <row r="13" spans="1:6" ht="14.45" x14ac:dyDescent="0.3">
      <c r="A13" s="16">
        <v>2</v>
      </c>
      <c r="B13" s="19" t="s">
        <v>7</v>
      </c>
      <c r="C13" s="104">
        <f>+'TY Filing Fee'!F33</f>
        <v>1986457.74</v>
      </c>
      <c r="D13" s="104">
        <f>+'G Filing Fee Restated'!F38</f>
        <v>1869582.8449800001</v>
      </c>
      <c r="E13" s="104">
        <f>D13-C13</f>
        <v>-116874.89501999994</v>
      </c>
      <c r="F13" s="100"/>
    </row>
    <row r="14" spans="1:6" ht="14.45" x14ac:dyDescent="0.3">
      <c r="A14" s="16">
        <v>3</v>
      </c>
      <c r="B14" s="17" t="s">
        <v>8</v>
      </c>
      <c r="C14" s="105">
        <f>C12+C13</f>
        <v>38555568.315505013</v>
      </c>
      <c r="D14" s="105">
        <f>D12+D13</f>
        <v>38439286.097029999</v>
      </c>
      <c r="E14" s="105">
        <f>E12+E13</f>
        <v>-116282.21847501327</v>
      </c>
      <c r="F14" s="100"/>
    </row>
    <row r="15" spans="1:6" ht="14.45" x14ac:dyDescent="0.3">
      <c r="A15" s="16">
        <v>4</v>
      </c>
      <c r="B15" s="17"/>
      <c r="C15" s="103"/>
      <c r="D15" s="106"/>
      <c r="E15" s="106"/>
      <c r="F15" s="102"/>
    </row>
    <row r="16" spans="1:6" ht="14.45" x14ac:dyDescent="0.3">
      <c r="A16" s="16">
        <v>5</v>
      </c>
      <c r="B16" s="23" t="s">
        <v>9</v>
      </c>
      <c r="C16" s="103"/>
      <c r="D16" s="106"/>
      <c r="E16" s="107">
        <f>E14</f>
        <v>-116282.21847501327</v>
      </c>
      <c r="F16" s="102"/>
    </row>
    <row r="17" spans="1:6" ht="14.45" x14ac:dyDescent="0.3">
      <c r="A17" s="16">
        <v>6</v>
      </c>
      <c r="B17" s="23" t="s">
        <v>10</v>
      </c>
      <c r="C17" s="162">
        <f>+'Lead E'!C17</f>
        <v>0.28000000000000003</v>
      </c>
      <c r="D17" s="106"/>
      <c r="E17" s="108">
        <f>(-E16*C17)</f>
        <v>32559.021173003719</v>
      </c>
      <c r="F17" s="102"/>
    </row>
    <row r="18" spans="1:6" thickBot="1" x14ac:dyDescent="0.35">
      <c r="A18" s="16">
        <v>7</v>
      </c>
      <c r="B18" s="23" t="s">
        <v>11</v>
      </c>
      <c r="C18" s="103"/>
      <c r="D18" s="106"/>
      <c r="E18" s="109">
        <f>-E16-E17</f>
        <v>83723.197302009561</v>
      </c>
      <c r="F18" s="102"/>
    </row>
    <row r="19" spans="1:6" thickTop="1" x14ac:dyDescent="0.3">
      <c r="A19" s="16"/>
      <c r="B19" s="1"/>
      <c r="C19" s="99"/>
      <c r="D19" s="101"/>
      <c r="E19" s="101"/>
      <c r="F19" s="102"/>
    </row>
  </sheetData>
  <pageMargins left="0.7" right="0.7" top="0.75" bottom="0.75" header="0.3" footer="0.3"/>
  <pageSetup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zoomScaleNormal="100" zoomScaleSheetLayoutView="85" workbookViewId="0">
      <pane xSplit="3" ySplit="4" topLeftCell="E121" activePane="bottomRight" state="frozen"/>
      <selection pane="topRight" activeCell="D1" sqref="D1"/>
      <selection pane="bottomLeft" activeCell="A5" sqref="A5"/>
      <selection pane="bottomRight" activeCell="F131" sqref="F131"/>
    </sheetView>
  </sheetViews>
  <sheetFormatPr defaultColWidth="9.140625" defaultRowHeight="15" x14ac:dyDescent="0.25"/>
  <cols>
    <col min="1" max="1" width="20" style="34" bestFit="1" customWidth="1"/>
    <col min="2" max="2" width="13" style="34" bestFit="1" customWidth="1"/>
    <col min="3" max="3" width="8" style="34" bestFit="1" customWidth="1"/>
    <col min="4" max="4" width="49" style="34" bestFit="1" customWidth="1"/>
    <col min="5" max="5" width="10" style="34" bestFit="1" customWidth="1"/>
    <col min="6" max="6" width="14" style="34" bestFit="1" customWidth="1"/>
    <col min="7" max="7" width="17" style="35" bestFit="1" customWidth="1"/>
    <col min="8" max="8" width="15.42578125" style="34" bestFit="1" customWidth="1"/>
    <col min="9" max="9" width="16.140625" style="34" bestFit="1" customWidth="1"/>
    <col min="10" max="10" width="13.5703125" style="34" bestFit="1" customWidth="1"/>
    <col min="11" max="11" width="13.28515625" style="34" bestFit="1" customWidth="1"/>
    <col min="12" max="12" width="15.42578125" style="34" bestFit="1" customWidth="1"/>
    <col min="13" max="13" width="16.140625" style="34" bestFit="1" customWidth="1"/>
    <col min="14" max="14" width="11.5703125" style="34" bestFit="1" customWidth="1"/>
    <col min="15" max="15" width="14" style="34" bestFit="1" customWidth="1"/>
    <col min="16" max="16384" width="9.140625" style="34"/>
  </cols>
  <sheetData>
    <row r="1" spans="1:14" ht="14.45" x14ac:dyDescent="0.25">
      <c r="H1" s="36"/>
      <c r="I1" s="37"/>
      <c r="J1" s="38" t="s">
        <v>32</v>
      </c>
      <c r="K1" s="39"/>
      <c r="L1" s="40"/>
      <c r="M1" s="39"/>
      <c r="N1" s="41"/>
    </row>
    <row r="2" spans="1:14" ht="14.45" x14ac:dyDescent="0.25">
      <c r="H2" s="42" t="s">
        <v>33</v>
      </c>
      <c r="I2" s="43"/>
      <c r="J2" s="42" t="s">
        <v>34</v>
      </c>
      <c r="K2" s="43"/>
      <c r="L2" s="42" t="s">
        <v>35</v>
      </c>
      <c r="M2" s="43"/>
      <c r="N2" s="41"/>
    </row>
    <row r="3" spans="1:14" ht="14.45" x14ac:dyDescent="0.25">
      <c r="A3" s="44" t="s">
        <v>16</v>
      </c>
      <c r="B3" s="44" t="s">
        <v>18</v>
      </c>
      <c r="C3" s="44" t="s">
        <v>19</v>
      </c>
      <c r="D3" s="44" t="s">
        <v>20</v>
      </c>
      <c r="E3" s="44" t="s">
        <v>12</v>
      </c>
      <c r="F3" s="44" t="s">
        <v>13</v>
      </c>
      <c r="G3" s="45" t="s">
        <v>14</v>
      </c>
      <c r="H3" s="159">
        <f>'[1]3.04 &amp; 4.04 Lead'!$E$35</f>
        <v>0.65449999999999997</v>
      </c>
      <c r="I3" s="159">
        <f>'[1]3.04 &amp; 4.04 Lead'!$F$35</f>
        <v>0.34549999999999997</v>
      </c>
      <c r="J3" s="46">
        <f>H3</f>
        <v>0.65449999999999997</v>
      </c>
      <c r="K3" s="47">
        <f>I3</f>
        <v>0.34549999999999997</v>
      </c>
      <c r="L3" s="46">
        <f>H3</f>
        <v>0.65449999999999997</v>
      </c>
      <c r="M3" s="54">
        <f>I3</f>
        <v>0.34549999999999997</v>
      </c>
      <c r="N3" s="56" t="s">
        <v>36</v>
      </c>
    </row>
    <row r="4" spans="1:14" ht="14.45" x14ac:dyDescent="0.25">
      <c r="C4" s="49"/>
      <c r="D4" s="49"/>
      <c r="E4" s="30"/>
      <c r="F4" s="30"/>
      <c r="G4" s="31"/>
      <c r="H4" s="74" t="s">
        <v>16</v>
      </c>
      <c r="I4" s="74" t="s">
        <v>17</v>
      </c>
      <c r="J4" s="72" t="s">
        <v>16</v>
      </c>
      <c r="K4" s="73" t="s">
        <v>17</v>
      </c>
      <c r="L4" s="72" t="s">
        <v>16</v>
      </c>
      <c r="M4" s="55" t="s">
        <v>17</v>
      </c>
      <c r="N4" s="57" t="s">
        <v>37</v>
      </c>
    </row>
    <row r="5" spans="1:14" ht="14.45" x14ac:dyDescent="0.25">
      <c r="A5" s="48" t="s">
        <v>38</v>
      </c>
      <c r="C5" s="49"/>
      <c r="D5" s="49"/>
      <c r="E5" s="30"/>
      <c r="F5" s="30"/>
      <c r="G5" s="31"/>
      <c r="H5" s="70"/>
      <c r="I5" s="71"/>
      <c r="J5" s="70"/>
      <c r="K5" s="71"/>
      <c r="L5" s="70"/>
      <c r="M5" s="71"/>
      <c r="N5" s="79"/>
    </row>
    <row r="6" spans="1:14" ht="14.45" x14ac:dyDescent="0.3">
      <c r="A6" s="34" t="s">
        <v>21</v>
      </c>
      <c r="B6" s="34">
        <v>2017</v>
      </c>
      <c r="C6" s="34">
        <v>7</v>
      </c>
      <c r="D6" s="34" t="s">
        <v>23</v>
      </c>
      <c r="E6" s="34">
        <v>40810002</v>
      </c>
      <c r="F6" s="50">
        <v>42947</v>
      </c>
      <c r="G6" s="51">
        <v>-23079.96</v>
      </c>
      <c r="H6" s="58">
        <f t="shared" ref="H6:H16" si="0">+G6</f>
        <v>-23079.96</v>
      </c>
      <c r="I6" s="69">
        <f t="shared" ref="I6:I16" si="1">+G6-H6</f>
        <v>0</v>
      </c>
      <c r="J6" s="58">
        <f>-H6</f>
        <v>23079.96</v>
      </c>
      <c r="K6" s="59"/>
      <c r="L6" s="58">
        <f t="shared" ref="L6:L16" si="2">+H6+J6</f>
        <v>0</v>
      </c>
      <c r="M6" s="59">
        <f t="shared" ref="M6:M16" si="3">+I6+K6</f>
        <v>0</v>
      </c>
      <c r="N6" s="81">
        <v>1</v>
      </c>
    </row>
    <row r="7" spans="1:14" ht="14.45" x14ac:dyDescent="0.3">
      <c r="A7" s="34" t="s">
        <v>21</v>
      </c>
      <c r="B7" s="34">
        <v>2017</v>
      </c>
      <c r="C7" s="34">
        <v>8</v>
      </c>
      <c r="D7" s="34" t="s">
        <v>23</v>
      </c>
      <c r="E7" s="34">
        <v>40810002</v>
      </c>
      <c r="F7" s="50">
        <v>42978</v>
      </c>
      <c r="G7" s="51">
        <v>-30790.46</v>
      </c>
      <c r="H7" s="58">
        <f t="shared" si="0"/>
        <v>-30790.46</v>
      </c>
      <c r="I7" s="69">
        <f t="shared" si="1"/>
        <v>0</v>
      </c>
      <c r="J7" s="58"/>
      <c r="K7" s="59"/>
      <c r="L7" s="58">
        <f t="shared" si="2"/>
        <v>-30790.46</v>
      </c>
      <c r="M7" s="59">
        <f t="shared" si="3"/>
        <v>0</v>
      </c>
      <c r="N7" s="80"/>
    </row>
    <row r="8" spans="1:14" ht="14.45" x14ac:dyDescent="0.3">
      <c r="A8" s="34" t="s">
        <v>21</v>
      </c>
      <c r="B8" s="34">
        <v>2017</v>
      </c>
      <c r="C8" s="34">
        <v>8</v>
      </c>
      <c r="D8" s="34" t="s">
        <v>23</v>
      </c>
      <c r="E8" s="34">
        <v>40810002</v>
      </c>
      <c r="F8" s="50">
        <v>42978</v>
      </c>
      <c r="G8" s="51">
        <v>-17105.060000000001</v>
      </c>
      <c r="H8" s="58">
        <f t="shared" si="0"/>
        <v>-17105.060000000001</v>
      </c>
      <c r="I8" s="69">
        <f t="shared" si="1"/>
        <v>0</v>
      </c>
      <c r="J8" s="58"/>
      <c r="K8" s="59"/>
      <c r="L8" s="58">
        <f t="shared" si="2"/>
        <v>-17105.060000000001</v>
      </c>
      <c r="M8" s="59">
        <f t="shared" si="3"/>
        <v>0</v>
      </c>
      <c r="N8" s="80"/>
    </row>
    <row r="9" spans="1:14" ht="14.45" x14ac:dyDescent="0.3">
      <c r="A9" s="34" t="s">
        <v>21</v>
      </c>
      <c r="B9" s="34">
        <v>2017</v>
      </c>
      <c r="C9" s="34">
        <v>9</v>
      </c>
      <c r="D9" s="34" t="s">
        <v>23</v>
      </c>
      <c r="E9" s="34">
        <v>40810002</v>
      </c>
      <c r="F9" s="50">
        <v>43008</v>
      </c>
      <c r="G9" s="51">
        <v>-21765.39</v>
      </c>
      <c r="H9" s="58">
        <f t="shared" si="0"/>
        <v>-21765.39</v>
      </c>
      <c r="I9" s="69">
        <f t="shared" si="1"/>
        <v>0</v>
      </c>
      <c r="J9" s="58"/>
      <c r="K9" s="59"/>
      <c r="L9" s="58">
        <f t="shared" si="2"/>
        <v>-21765.39</v>
      </c>
      <c r="M9" s="59">
        <f t="shared" si="3"/>
        <v>0</v>
      </c>
      <c r="N9" s="80"/>
    </row>
    <row r="10" spans="1:14" ht="14.45" x14ac:dyDescent="0.3">
      <c r="A10" s="34" t="s">
        <v>21</v>
      </c>
      <c r="B10" s="34">
        <v>2017</v>
      </c>
      <c r="C10" s="34">
        <v>10</v>
      </c>
      <c r="D10" s="34" t="s">
        <v>23</v>
      </c>
      <c r="E10" s="34">
        <v>40810002</v>
      </c>
      <c r="F10" s="50">
        <v>43039</v>
      </c>
      <c r="G10" s="51">
        <v>20260.02</v>
      </c>
      <c r="H10" s="58">
        <f t="shared" si="0"/>
        <v>20260.02</v>
      </c>
      <c r="I10" s="69">
        <f t="shared" si="1"/>
        <v>0</v>
      </c>
      <c r="J10" s="58"/>
      <c r="K10" s="59"/>
      <c r="L10" s="58">
        <f t="shared" si="2"/>
        <v>20260.02</v>
      </c>
      <c r="M10" s="59">
        <f t="shared" si="3"/>
        <v>0</v>
      </c>
      <c r="N10" s="80"/>
    </row>
    <row r="11" spans="1:14" ht="14.45" x14ac:dyDescent="0.3">
      <c r="A11" s="34" t="s">
        <v>21</v>
      </c>
      <c r="B11" s="34">
        <v>2017</v>
      </c>
      <c r="C11" s="34">
        <v>11</v>
      </c>
      <c r="D11" s="34" t="s">
        <v>23</v>
      </c>
      <c r="E11" s="34">
        <v>40810002</v>
      </c>
      <c r="F11" s="50">
        <v>43069</v>
      </c>
      <c r="G11" s="51">
        <v>-25354.43</v>
      </c>
      <c r="H11" s="58">
        <f t="shared" si="0"/>
        <v>-25354.43</v>
      </c>
      <c r="I11" s="69">
        <f t="shared" si="1"/>
        <v>0</v>
      </c>
      <c r="J11" s="58"/>
      <c r="K11" s="59"/>
      <c r="L11" s="58">
        <f t="shared" si="2"/>
        <v>-25354.43</v>
      </c>
      <c r="M11" s="59">
        <f t="shared" si="3"/>
        <v>0</v>
      </c>
      <c r="N11" s="80"/>
    </row>
    <row r="12" spans="1:14" ht="14.45" x14ac:dyDescent="0.3">
      <c r="A12" s="34" t="s">
        <v>21</v>
      </c>
      <c r="B12" s="34">
        <v>2017</v>
      </c>
      <c r="C12" s="34">
        <v>12</v>
      </c>
      <c r="D12" s="34" t="s">
        <v>23</v>
      </c>
      <c r="E12" s="34">
        <v>40810002</v>
      </c>
      <c r="F12" s="50">
        <v>43100</v>
      </c>
      <c r="G12" s="51">
        <v>-23878.33</v>
      </c>
      <c r="H12" s="58">
        <f t="shared" si="0"/>
        <v>-23878.33</v>
      </c>
      <c r="I12" s="69">
        <f t="shared" si="1"/>
        <v>0</v>
      </c>
      <c r="J12" s="58"/>
      <c r="K12" s="59"/>
      <c r="L12" s="58">
        <f t="shared" si="2"/>
        <v>-23878.33</v>
      </c>
      <c r="M12" s="59">
        <f t="shared" si="3"/>
        <v>0</v>
      </c>
      <c r="N12" s="80"/>
    </row>
    <row r="13" spans="1:14" ht="14.45" x14ac:dyDescent="0.3">
      <c r="A13" s="34" t="s">
        <v>21</v>
      </c>
      <c r="B13" s="34">
        <v>2018</v>
      </c>
      <c r="C13" s="34">
        <v>1</v>
      </c>
      <c r="D13" s="34" t="s">
        <v>23</v>
      </c>
      <c r="E13" s="34">
        <v>40810002</v>
      </c>
      <c r="F13" s="50">
        <v>43131</v>
      </c>
      <c r="G13" s="51">
        <v>-11026.67</v>
      </c>
      <c r="H13" s="58">
        <f t="shared" si="0"/>
        <v>-11026.67</v>
      </c>
      <c r="I13" s="69">
        <f t="shared" si="1"/>
        <v>0</v>
      </c>
      <c r="J13" s="58"/>
      <c r="K13" s="59"/>
      <c r="L13" s="58">
        <f t="shared" si="2"/>
        <v>-11026.67</v>
      </c>
      <c r="M13" s="59">
        <f t="shared" si="3"/>
        <v>0</v>
      </c>
      <c r="N13" s="80"/>
    </row>
    <row r="14" spans="1:14" ht="14.45" x14ac:dyDescent="0.3">
      <c r="A14" s="34" t="s">
        <v>21</v>
      </c>
      <c r="B14" s="34">
        <v>2018</v>
      </c>
      <c r="C14" s="34">
        <v>2</v>
      </c>
      <c r="D14" s="34" t="s">
        <v>23</v>
      </c>
      <c r="E14" s="34">
        <v>40810002</v>
      </c>
      <c r="F14" s="50">
        <v>43159</v>
      </c>
      <c r="G14" s="51">
        <v>1142.3399999999999</v>
      </c>
      <c r="H14" s="58">
        <f t="shared" si="0"/>
        <v>1142.3399999999999</v>
      </c>
      <c r="I14" s="69">
        <f t="shared" si="1"/>
        <v>0</v>
      </c>
      <c r="J14" s="58"/>
      <c r="K14" s="59"/>
      <c r="L14" s="58">
        <f t="shared" si="2"/>
        <v>1142.3399999999999</v>
      </c>
      <c r="M14" s="59">
        <f t="shared" si="3"/>
        <v>0</v>
      </c>
      <c r="N14" s="80"/>
    </row>
    <row r="15" spans="1:14" ht="14.45" x14ac:dyDescent="0.3">
      <c r="A15" s="34" t="s">
        <v>21</v>
      </c>
      <c r="B15" s="34">
        <v>2018</v>
      </c>
      <c r="C15" s="34">
        <v>3</v>
      </c>
      <c r="D15" s="34" t="s">
        <v>23</v>
      </c>
      <c r="E15" s="34">
        <v>40810002</v>
      </c>
      <c r="F15" s="50">
        <v>43190</v>
      </c>
      <c r="G15" s="51">
        <v>-7745.65</v>
      </c>
      <c r="H15" s="58">
        <f t="shared" si="0"/>
        <v>-7745.65</v>
      </c>
      <c r="I15" s="69">
        <f t="shared" si="1"/>
        <v>0</v>
      </c>
      <c r="J15" s="58"/>
      <c r="K15" s="59"/>
      <c r="L15" s="58">
        <f t="shared" si="2"/>
        <v>-7745.65</v>
      </c>
      <c r="M15" s="59">
        <f t="shared" si="3"/>
        <v>0</v>
      </c>
      <c r="N15" s="80"/>
    </row>
    <row r="16" spans="1:14" x14ac:dyDescent="0.25">
      <c r="A16" s="34" t="s">
        <v>21</v>
      </c>
      <c r="B16" s="34">
        <v>2017</v>
      </c>
      <c r="C16" s="34">
        <v>7</v>
      </c>
      <c r="D16" s="34" t="s">
        <v>22</v>
      </c>
      <c r="E16" s="34">
        <v>40810002</v>
      </c>
      <c r="F16" s="50">
        <v>42934</v>
      </c>
      <c r="G16" s="51">
        <v>-3596871.1</v>
      </c>
      <c r="H16" s="58">
        <f t="shared" si="0"/>
        <v>-3596871.1</v>
      </c>
      <c r="I16" s="69">
        <f t="shared" si="1"/>
        <v>0</v>
      </c>
      <c r="J16" s="58"/>
      <c r="K16" s="59"/>
      <c r="L16" s="58">
        <f t="shared" si="2"/>
        <v>-3596871.1</v>
      </c>
      <c r="M16" s="59">
        <f t="shared" si="3"/>
        <v>0</v>
      </c>
      <c r="N16" s="81"/>
    </row>
    <row r="17" spans="1:14" x14ac:dyDescent="0.25">
      <c r="A17" s="34" t="s">
        <v>21</v>
      </c>
      <c r="B17" s="34">
        <v>2017</v>
      </c>
      <c r="C17" s="34">
        <v>7</v>
      </c>
      <c r="D17" s="34" t="s">
        <v>22</v>
      </c>
      <c r="E17" s="34">
        <v>40810002</v>
      </c>
      <c r="F17" s="50">
        <v>42947</v>
      </c>
      <c r="G17" s="51">
        <v>3809311.84</v>
      </c>
      <c r="H17" s="58">
        <f t="shared" ref="H17:H53" si="4">+G17</f>
        <v>3809311.84</v>
      </c>
      <c r="I17" s="69">
        <f t="shared" ref="I17:I53" si="5">+G17-H17</f>
        <v>0</v>
      </c>
      <c r="J17" s="58"/>
      <c r="K17" s="59"/>
      <c r="L17" s="58">
        <f t="shared" ref="L17:L53" si="6">+H17+J17</f>
        <v>3809311.84</v>
      </c>
      <c r="M17" s="59">
        <f t="shared" ref="M17:M54" si="7">+I17+K17</f>
        <v>0</v>
      </c>
      <c r="N17" s="81"/>
    </row>
    <row r="18" spans="1:14" x14ac:dyDescent="0.25">
      <c r="A18" s="34" t="s">
        <v>21</v>
      </c>
      <c r="B18" s="34">
        <v>2017</v>
      </c>
      <c r="C18" s="34">
        <v>8</v>
      </c>
      <c r="D18" s="34" t="s">
        <v>22</v>
      </c>
      <c r="E18" s="34">
        <v>40810002</v>
      </c>
      <c r="F18" s="50">
        <v>42955</v>
      </c>
      <c r="G18" s="51">
        <v>-3809311.84</v>
      </c>
      <c r="H18" s="58">
        <f t="shared" si="4"/>
        <v>-3809311.84</v>
      </c>
      <c r="I18" s="69">
        <f t="shared" si="5"/>
        <v>0</v>
      </c>
      <c r="J18" s="58"/>
      <c r="K18" s="59"/>
      <c r="L18" s="58">
        <f t="shared" si="6"/>
        <v>-3809311.84</v>
      </c>
      <c r="M18" s="59">
        <f t="shared" si="7"/>
        <v>0</v>
      </c>
      <c r="N18" s="80"/>
    </row>
    <row r="19" spans="1:14" x14ac:dyDescent="0.25">
      <c r="A19" s="34" t="s">
        <v>21</v>
      </c>
      <c r="B19" s="34">
        <v>2017</v>
      </c>
      <c r="C19" s="34">
        <v>8</v>
      </c>
      <c r="D19" s="34" t="s">
        <v>22</v>
      </c>
      <c r="E19" s="34">
        <v>40810002</v>
      </c>
      <c r="F19" s="50">
        <v>42978</v>
      </c>
      <c r="G19" s="51">
        <v>4100269.14</v>
      </c>
      <c r="H19" s="58">
        <f t="shared" si="4"/>
        <v>4100269.14</v>
      </c>
      <c r="I19" s="69">
        <f t="shared" si="5"/>
        <v>0</v>
      </c>
      <c r="J19" s="58"/>
      <c r="K19" s="59"/>
      <c r="L19" s="58">
        <f t="shared" si="6"/>
        <v>4100269.14</v>
      </c>
      <c r="M19" s="59">
        <f t="shared" si="7"/>
        <v>0</v>
      </c>
      <c r="N19" s="80"/>
    </row>
    <row r="20" spans="1:14" x14ac:dyDescent="0.25">
      <c r="A20" s="34" t="s">
        <v>21</v>
      </c>
      <c r="B20" s="34">
        <v>2017</v>
      </c>
      <c r="C20" s="34">
        <v>9</v>
      </c>
      <c r="D20" s="34" t="s">
        <v>22</v>
      </c>
      <c r="E20" s="34">
        <v>40810002</v>
      </c>
      <c r="F20" s="50">
        <v>42991</v>
      </c>
      <c r="G20" s="51">
        <v>-4100269.14</v>
      </c>
      <c r="H20" s="58">
        <f t="shared" si="4"/>
        <v>-4100269.14</v>
      </c>
      <c r="I20" s="69">
        <f t="shared" si="5"/>
        <v>0</v>
      </c>
      <c r="J20" s="58"/>
      <c r="K20" s="59"/>
      <c r="L20" s="58">
        <f t="shared" si="6"/>
        <v>-4100269.14</v>
      </c>
      <c r="M20" s="59">
        <f t="shared" si="7"/>
        <v>0</v>
      </c>
      <c r="N20" s="80"/>
    </row>
    <row r="21" spans="1:14" x14ac:dyDescent="0.25">
      <c r="A21" s="34" t="s">
        <v>21</v>
      </c>
      <c r="B21" s="34">
        <v>2017</v>
      </c>
      <c r="C21" s="34">
        <v>9</v>
      </c>
      <c r="D21" s="34" t="s">
        <v>22</v>
      </c>
      <c r="E21" s="34">
        <v>40810002</v>
      </c>
      <c r="F21" s="50">
        <v>43008</v>
      </c>
      <c r="G21" s="51">
        <v>3883056.83</v>
      </c>
      <c r="H21" s="58">
        <f t="shared" si="4"/>
        <v>3883056.83</v>
      </c>
      <c r="I21" s="69">
        <f t="shared" si="5"/>
        <v>0</v>
      </c>
      <c r="J21" s="58"/>
      <c r="K21" s="59"/>
      <c r="L21" s="58">
        <f t="shared" si="6"/>
        <v>3883056.83</v>
      </c>
      <c r="M21" s="59">
        <f t="shared" si="7"/>
        <v>0</v>
      </c>
      <c r="N21" s="80"/>
    </row>
    <row r="22" spans="1:14" x14ac:dyDescent="0.25">
      <c r="A22" s="34" t="s">
        <v>21</v>
      </c>
      <c r="B22" s="34">
        <v>2017</v>
      </c>
      <c r="C22" s="34">
        <v>10</v>
      </c>
      <c r="D22" s="34" t="s">
        <v>22</v>
      </c>
      <c r="E22" s="34">
        <v>40810002</v>
      </c>
      <c r="F22" s="50">
        <v>43021</v>
      </c>
      <c r="G22" s="51">
        <v>-3883056.83</v>
      </c>
      <c r="H22" s="58">
        <f t="shared" si="4"/>
        <v>-3883056.83</v>
      </c>
      <c r="I22" s="69">
        <f t="shared" si="5"/>
        <v>0</v>
      </c>
      <c r="J22" s="58"/>
      <c r="K22" s="59"/>
      <c r="L22" s="58">
        <f t="shared" si="6"/>
        <v>-3883056.83</v>
      </c>
      <c r="M22" s="59">
        <f t="shared" si="7"/>
        <v>0</v>
      </c>
      <c r="N22" s="80"/>
    </row>
    <row r="23" spans="1:14" x14ac:dyDescent="0.25">
      <c r="A23" s="34" t="s">
        <v>21</v>
      </c>
      <c r="B23" s="34">
        <v>2017</v>
      </c>
      <c r="C23" s="34">
        <v>10</v>
      </c>
      <c r="D23" s="34" t="s">
        <v>22</v>
      </c>
      <c r="E23" s="34">
        <v>40810002</v>
      </c>
      <c r="F23" s="50">
        <v>43039</v>
      </c>
      <c r="G23" s="51">
        <v>4544220.16</v>
      </c>
      <c r="H23" s="58">
        <f t="shared" si="4"/>
        <v>4544220.16</v>
      </c>
      <c r="I23" s="69">
        <f t="shared" si="5"/>
        <v>0</v>
      </c>
      <c r="J23" s="58"/>
      <c r="K23" s="59"/>
      <c r="L23" s="58">
        <f t="shared" si="6"/>
        <v>4544220.16</v>
      </c>
      <c r="M23" s="59">
        <f t="shared" si="7"/>
        <v>0</v>
      </c>
      <c r="N23" s="80"/>
    </row>
    <row r="24" spans="1:14" x14ac:dyDescent="0.25">
      <c r="A24" s="34" t="s">
        <v>21</v>
      </c>
      <c r="B24" s="34">
        <v>2017</v>
      </c>
      <c r="C24" s="34">
        <v>11</v>
      </c>
      <c r="D24" s="34" t="s">
        <v>22</v>
      </c>
      <c r="E24" s="34">
        <v>40810002</v>
      </c>
      <c r="F24" s="50">
        <v>43049</v>
      </c>
      <c r="G24" s="51">
        <v>-4544220.16</v>
      </c>
      <c r="H24" s="58">
        <f t="shared" si="4"/>
        <v>-4544220.16</v>
      </c>
      <c r="I24" s="69">
        <f t="shared" si="5"/>
        <v>0</v>
      </c>
      <c r="J24" s="58"/>
      <c r="K24" s="59"/>
      <c r="L24" s="58">
        <f t="shared" si="6"/>
        <v>-4544220.16</v>
      </c>
      <c r="M24" s="59">
        <f t="shared" si="7"/>
        <v>0</v>
      </c>
      <c r="N24" s="80"/>
    </row>
    <row r="25" spans="1:14" x14ac:dyDescent="0.25">
      <c r="A25" s="34" t="s">
        <v>21</v>
      </c>
      <c r="B25" s="34">
        <v>2017</v>
      </c>
      <c r="C25" s="34">
        <v>11</v>
      </c>
      <c r="D25" s="34" t="s">
        <v>22</v>
      </c>
      <c r="E25" s="34">
        <v>40810002</v>
      </c>
      <c r="F25" s="50">
        <v>43069</v>
      </c>
      <c r="G25" s="51">
        <v>5019656.6500000004</v>
      </c>
      <c r="H25" s="58">
        <f t="shared" si="4"/>
        <v>5019656.6500000004</v>
      </c>
      <c r="I25" s="69">
        <f t="shared" si="5"/>
        <v>0</v>
      </c>
      <c r="J25" s="58"/>
      <c r="K25" s="59"/>
      <c r="L25" s="58">
        <f t="shared" si="6"/>
        <v>5019656.6500000004</v>
      </c>
      <c r="M25" s="59">
        <f t="shared" si="7"/>
        <v>0</v>
      </c>
      <c r="N25" s="80"/>
    </row>
    <row r="26" spans="1:14" x14ac:dyDescent="0.25">
      <c r="A26" s="34" t="s">
        <v>21</v>
      </c>
      <c r="B26" s="34">
        <v>2017</v>
      </c>
      <c r="C26" s="34">
        <v>12</v>
      </c>
      <c r="D26" s="34" t="s">
        <v>22</v>
      </c>
      <c r="E26" s="34">
        <v>40810002</v>
      </c>
      <c r="F26" s="50">
        <v>43083</v>
      </c>
      <c r="G26" s="51">
        <v>-5019656.6500000004</v>
      </c>
      <c r="H26" s="58">
        <f t="shared" si="4"/>
        <v>-5019656.6500000004</v>
      </c>
      <c r="I26" s="69">
        <f t="shared" si="5"/>
        <v>0</v>
      </c>
      <c r="J26" s="58"/>
      <c r="K26" s="59"/>
      <c r="L26" s="58">
        <f t="shared" si="6"/>
        <v>-5019656.6500000004</v>
      </c>
      <c r="M26" s="59">
        <f t="shared" si="7"/>
        <v>0</v>
      </c>
      <c r="N26" s="80"/>
    </row>
    <row r="27" spans="1:14" x14ac:dyDescent="0.25">
      <c r="A27" s="34" t="s">
        <v>21</v>
      </c>
      <c r="B27" s="34">
        <v>2017</v>
      </c>
      <c r="C27" s="34">
        <v>12</v>
      </c>
      <c r="D27" s="34" t="s">
        <v>22</v>
      </c>
      <c r="E27" s="34">
        <v>40810002</v>
      </c>
      <c r="F27" s="50">
        <v>43100</v>
      </c>
      <c r="G27" s="51">
        <v>5946376.9500000002</v>
      </c>
      <c r="H27" s="58">
        <f t="shared" si="4"/>
        <v>5946376.9500000002</v>
      </c>
      <c r="I27" s="69">
        <f t="shared" si="5"/>
        <v>0</v>
      </c>
      <c r="J27" s="58"/>
      <c r="K27" s="59"/>
      <c r="L27" s="58">
        <f t="shared" si="6"/>
        <v>5946376.9500000002</v>
      </c>
      <c r="M27" s="59">
        <f t="shared" si="7"/>
        <v>0</v>
      </c>
      <c r="N27" s="80"/>
    </row>
    <row r="28" spans="1:14" x14ac:dyDescent="0.25">
      <c r="A28" s="34" t="s">
        <v>21</v>
      </c>
      <c r="B28" s="34">
        <v>2018</v>
      </c>
      <c r="C28" s="34">
        <v>1</v>
      </c>
      <c r="D28" s="34" t="s">
        <v>22</v>
      </c>
      <c r="E28" s="34">
        <v>40810002</v>
      </c>
      <c r="F28" s="50">
        <v>43131</v>
      </c>
      <c r="G28" s="51">
        <v>-5946376.9500000002</v>
      </c>
      <c r="H28" s="58">
        <f t="shared" si="4"/>
        <v>-5946376.9500000002</v>
      </c>
      <c r="I28" s="69">
        <f t="shared" si="5"/>
        <v>0</v>
      </c>
      <c r="J28" s="58"/>
      <c r="K28" s="59"/>
      <c r="L28" s="58">
        <f t="shared" si="6"/>
        <v>-5946376.9500000002</v>
      </c>
      <c r="M28" s="59">
        <f t="shared" si="7"/>
        <v>0</v>
      </c>
      <c r="N28" s="80"/>
    </row>
    <row r="29" spans="1:14" x14ac:dyDescent="0.25">
      <c r="A29" s="34" t="s">
        <v>21</v>
      </c>
      <c r="B29" s="34">
        <v>2018</v>
      </c>
      <c r="C29" s="34">
        <v>1</v>
      </c>
      <c r="D29" s="34" t="s">
        <v>22</v>
      </c>
      <c r="E29" s="34">
        <v>40810002</v>
      </c>
      <c r="F29" s="50">
        <v>43131</v>
      </c>
      <c r="G29" s="51">
        <v>5473016.7999999998</v>
      </c>
      <c r="H29" s="58">
        <f t="shared" si="4"/>
        <v>5473016.7999999998</v>
      </c>
      <c r="I29" s="69">
        <f t="shared" si="5"/>
        <v>0</v>
      </c>
      <c r="J29" s="58"/>
      <c r="K29" s="59"/>
      <c r="L29" s="58">
        <f t="shared" si="6"/>
        <v>5473016.7999999998</v>
      </c>
      <c r="M29" s="59">
        <f t="shared" si="7"/>
        <v>0</v>
      </c>
      <c r="N29" s="80"/>
    </row>
    <row r="30" spans="1:14" x14ac:dyDescent="0.25">
      <c r="A30" s="34" t="s">
        <v>21</v>
      </c>
      <c r="B30" s="34">
        <v>2018</v>
      </c>
      <c r="C30" s="34">
        <v>2</v>
      </c>
      <c r="D30" s="34" t="s">
        <v>22</v>
      </c>
      <c r="E30" s="34">
        <v>40810002</v>
      </c>
      <c r="F30" s="50">
        <v>43153</v>
      </c>
      <c r="G30" s="51">
        <v>-5473016.7999999998</v>
      </c>
      <c r="H30" s="58">
        <f t="shared" si="4"/>
        <v>-5473016.7999999998</v>
      </c>
      <c r="I30" s="69">
        <f t="shared" si="5"/>
        <v>0</v>
      </c>
      <c r="J30" s="58"/>
      <c r="K30" s="59"/>
      <c r="L30" s="58">
        <f t="shared" si="6"/>
        <v>-5473016.7999999998</v>
      </c>
      <c r="M30" s="59">
        <f t="shared" si="7"/>
        <v>0</v>
      </c>
      <c r="N30" s="80"/>
    </row>
    <row r="31" spans="1:14" x14ac:dyDescent="0.25">
      <c r="A31" s="34" t="s">
        <v>21</v>
      </c>
      <c r="B31" s="34">
        <v>2018</v>
      </c>
      <c r="C31" s="34">
        <v>2</v>
      </c>
      <c r="D31" s="34" t="s">
        <v>22</v>
      </c>
      <c r="E31" s="34">
        <v>40810002</v>
      </c>
      <c r="F31" s="50">
        <v>43159</v>
      </c>
      <c r="G31" s="51">
        <v>5216658.24</v>
      </c>
      <c r="H31" s="58">
        <f t="shared" si="4"/>
        <v>5216658.24</v>
      </c>
      <c r="I31" s="69">
        <f t="shared" si="5"/>
        <v>0</v>
      </c>
      <c r="J31" s="58"/>
      <c r="K31" s="59"/>
      <c r="L31" s="58">
        <f t="shared" si="6"/>
        <v>5216658.24</v>
      </c>
      <c r="M31" s="59">
        <f t="shared" si="7"/>
        <v>0</v>
      </c>
      <c r="N31" s="80"/>
    </row>
    <row r="32" spans="1:14" x14ac:dyDescent="0.25">
      <c r="A32" s="34" t="s">
        <v>21</v>
      </c>
      <c r="B32" s="34">
        <v>2018</v>
      </c>
      <c r="C32" s="34">
        <v>3</v>
      </c>
      <c r="D32" s="34" t="s">
        <v>22</v>
      </c>
      <c r="E32" s="34">
        <v>40810002</v>
      </c>
      <c r="F32" s="50">
        <v>43179</v>
      </c>
      <c r="G32" s="51">
        <v>-5216658.24</v>
      </c>
      <c r="H32" s="58">
        <f t="shared" si="4"/>
        <v>-5216658.24</v>
      </c>
      <c r="I32" s="69">
        <f t="shared" si="5"/>
        <v>0</v>
      </c>
      <c r="J32" s="58"/>
      <c r="K32" s="59"/>
      <c r="L32" s="58">
        <f t="shared" si="6"/>
        <v>-5216658.24</v>
      </c>
      <c r="M32" s="59">
        <f t="shared" si="7"/>
        <v>0</v>
      </c>
      <c r="N32" s="80"/>
    </row>
    <row r="33" spans="1:14" x14ac:dyDescent="0.25">
      <c r="A33" s="34" t="s">
        <v>21</v>
      </c>
      <c r="B33" s="34">
        <v>2018</v>
      </c>
      <c r="C33" s="34">
        <v>3</v>
      </c>
      <c r="D33" s="34" t="s">
        <v>22</v>
      </c>
      <c r="E33" s="34">
        <v>40810002</v>
      </c>
      <c r="F33" s="50">
        <v>43190</v>
      </c>
      <c r="G33" s="51">
        <v>4804327.01</v>
      </c>
      <c r="H33" s="58">
        <f t="shared" si="4"/>
        <v>4804327.01</v>
      </c>
      <c r="I33" s="69">
        <f t="shared" si="5"/>
        <v>0</v>
      </c>
      <c r="J33" s="58"/>
      <c r="K33" s="59"/>
      <c r="L33" s="58">
        <f t="shared" si="6"/>
        <v>4804327.01</v>
      </c>
      <c r="M33" s="59">
        <f t="shared" si="7"/>
        <v>0</v>
      </c>
      <c r="N33" s="80"/>
    </row>
    <row r="34" spans="1:14" x14ac:dyDescent="0.25">
      <c r="A34" s="34" t="s">
        <v>21</v>
      </c>
      <c r="B34" s="34">
        <v>2018</v>
      </c>
      <c r="C34" s="34">
        <v>4</v>
      </c>
      <c r="D34" s="34" t="s">
        <v>22</v>
      </c>
      <c r="E34" s="34">
        <v>40810002</v>
      </c>
      <c r="F34" s="50">
        <v>43203</v>
      </c>
      <c r="G34" s="51">
        <v>-4804327.01</v>
      </c>
      <c r="H34" s="58">
        <f t="shared" si="4"/>
        <v>-4804327.01</v>
      </c>
      <c r="I34" s="69">
        <f t="shared" si="5"/>
        <v>0</v>
      </c>
      <c r="J34" s="58"/>
      <c r="K34" s="59"/>
      <c r="L34" s="58">
        <f t="shared" si="6"/>
        <v>-4804327.01</v>
      </c>
      <c r="M34" s="59">
        <f t="shared" si="7"/>
        <v>0</v>
      </c>
      <c r="N34" s="80"/>
    </row>
    <row r="35" spans="1:14" x14ac:dyDescent="0.25">
      <c r="A35" s="34" t="s">
        <v>21</v>
      </c>
      <c r="B35" s="34">
        <v>2018</v>
      </c>
      <c r="C35" s="34">
        <v>4</v>
      </c>
      <c r="D35" s="34" t="s">
        <v>22</v>
      </c>
      <c r="E35" s="34">
        <v>40810002</v>
      </c>
      <c r="F35" s="50">
        <v>43220</v>
      </c>
      <c r="G35" s="51">
        <v>4201190.38</v>
      </c>
      <c r="H35" s="58">
        <f t="shared" si="4"/>
        <v>4201190.38</v>
      </c>
      <c r="I35" s="69">
        <f t="shared" si="5"/>
        <v>0</v>
      </c>
      <c r="J35" s="58"/>
      <c r="K35" s="59"/>
      <c r="L35" s="58">
        <f t="shared" si="6"/>
        <v>4201190.38</v>
      </c>
      <c r="M35" s="59">
        <f t="shared" si="7"/>
        <v>0</v>
      </c>
      <c r="N35" s="80"/>
    </row>
    <row r="36" spans="1:14" x14ac:dyDescent="0.25">
      <c r="A36" s="34" t="s">
        <v>21</v>
      </c>
      <c r="B36" s="34">
        <v>2018</v>
      </c>
      <c r="C36" s="34">
        <v>5</v>
      </c>
      <c r="D36" s="34" t="s">
        <v>22</v>
      </c>
      <c r="E36" s="34">
        <v>40810002</v>
      </c>
      <c r="F36" s="50">
        <v>43231</v>
      </c>
      <c r="G36" s="51">
        <v>-4201190.38</v>
      </c>
      <c r="H36" s="58">
        <f t="shared" si="4"/>
        <v>-4201190.38</v>
      </c>
      <c r="I36" s="69">
        <f t="shared" si="5"/>
        <v>0</v>
      </c>
      <c r="J36" s="58"/>
      <c r="K36" s="59"/>
      <c r="L36" s="58">
        <f t="shared" si="6"/>
        <v>-4201190.38</v>
      </c>
      <c r="M36" s="59">
        <f t="shared" si="7"/>
        <v>0</v>
      </c>
      <c r="N36" s="80"/>
    </row>
    <row r="37" spans="1:14" x14ac:dyDescent="0.25">
      <c r="A37" s="34" t="s">
        <v>21</v>
      </c>
      <c r="B37" s="34">
        <v>2018</v>
      </c>
      <c r="C37" s="34">
        <v>5</v>
      </c>
      <c r="D37" s="34" t="s">
        <v>22</v>
      </c>
      <c r="E37" s="34">
        <v>40810002</v>
      </c>
      <c r="F37" s="50">
        <v>43251</v>
      </c>
      <c r="G37" s="51">
        <v>3767924.43</v>
      </c>
      <c r="H37" s="58">
        <f t="shared" si="4"/>
        <v>3767924.43</v>
      </c>
      <c r="I37" s="69">
        <f t="shared" si="5"/>
        <v>0</v>
      </c>
      <c r="J37" s="58"/>
      <c r="K37" s="59"/>
      <c r="L37" s="58">
        <f t="shared" si="6"/>
        <v>3767924.43</v>
      </c>
      <c r="M37" s="59">
        <f t="shared" si="7"/>
        <v>0</v>
      </c>
      <c r="N37" s="80"/>
    </row>
    <row r="38" spans="1:14" x14ac:dyDescent="0.25">
      <c r="A38" s="34" t="s">
        <v>21</v>
      </c>
      <c r="B38" s="34">
        <v>2018</v>
      </c>
      <c r="C38" s="34">
        <v>6</v>
      </c>
      <c r="D38" s="34" t="s">
        <v>22</v>
      </c>
      <c r="E38" s="34">
        <v>40810002</v>
      </c>
      <c r="F38" s="50">
        <v>43270</v>
      </c>
      <c r="G38" s="51">
        <v>-3767924.43</v>
      </c>
      <c r="H38" s="58">
        <f t="shared" si="4"/>
        <v>-3767924.43</v>
      </c>
      <c r="I38" s="69">
        <f t="shared" si="5"/>
        <v>0</v>
      </c>
      <c r="J38" s="58"/>
      <c r="K38" s="59"/>
      <c r="L38" s="58">
        <f t="shared" si="6"/>
        <v>-3767924.43</v>
      </c>
      <c r="M38" s="59">
        <f t="shared" si="7"/>
        <v>0</v>
      </c>
      <c r="N38" s="80"/>
    </row>
    <row r="39" spans="1:14" x14ac:dyDescent="0.25">
      <c r="A39" s="34" t="s">
        <v>21</v>
      </c>
      <c r="B39" s="34">
        <v>2018</v>
      </c>
      <c r="C39" s="34">
        <v>6</v>
      </c>
      <c r="D39" s="34" t="s">
        <v>22</v>
      </c>
      <c r="E39" s="34">
        <v>40810002</v>
      </c>
      <c r="F39" s="50">
        <v>43281</v>
      </c>
      <c r="G39" s="51">
        <v>3802994.6</v>
      </c>
      <c r="H39" s="58">
        <f t="shared" si="4"/>
        <v>3802994.6</v>
      </c>
      <c r="I39" s="69">
        <f t="shared" si="5"/>
        <v>0</v>
      </c>
      <c r="J39" s="58"/>
      <c r="K39" s="59"/>
      <c r="L39" s="58">
        <f t="shared" si="6"/>
        <v>3802994.6</v>
      </c>
      <c r="M39" s="59">
        <f t="shared" si="7"/>
        <v>0</v>
      </c>
      <c r="N39" s="80"/>
    </row>
    <row r="40" spans="1:14" x14ac:dyDescent="0.25">
      <c r="A40" s="34" t="s">
        <v>21</v>
      </c>
      <c r="B40" s="34">
        <v>2017</v>
      </c>
      <c r="C40" s="34">
        <v>7</v>
      </c>
      <c r="D40" s="34" t="s">
        <v>24</v>
      </c>
      <c r="E40" s="34">
        <v>40810002</v>
      </c>
      <c r="F40" s="50">
        <v>42947</v>
      </c>
      <c r="G40" s="51">
        <v>6131867.2000000002</v>
      </c>
      <c r="H40" s="58">
        <f t="shared" si="4"/>
        <v>6131867.2000000002</v>
      </c>
      <c r="I40" s="69">
        <f t="shared" si="5"/>
        <v>0</v>
      </c>
      <c r="J40" s="58"/>
      <c r="K40" s="59"/>
      <c r="L40" s="58">
        <f t="shared" si="6"/>
        <v>6131867.2000000002</v>
      </c>
      <c r="M40" s="59">
        <f t="shared" si="7"/>
        <v>0</v>
      </c>
      <c r="N40" s="80"/>
    </row>
    <row r="41" spans="1:14" x14ac:dyDescent="0.25">
      <c r="A41" s="34" t="s">
        <v>21</v>
      </c>
      <c r="B41" s="34">
        <v>2017</v>
      </c>
      <c r="C41" s="34">
        <v>8</v>
      </c>
      <c r="D41" s="34" t="s">
        <v>24</v>
      </c>
      <c r="E41" s="34">
        <v>40810002</v>
      </c>
      <c r="F41" s="50">
        <v>42978</v>
      </c>
      <c r="G41" s="51">
        <v>6398432.5800000001</v>
      </c>
      <c r="H41" s="58">
        <f t="shared" si="4"/>
        <v>6398432.5800000001</v>
      </c>
      <c r="I41" s="69">
        <f t="shared" si="5"/>
        <v>0</v>
      </c>
      <c r="J41" s="58"/>
      <c r="K41" s="59"/>
      <c r="L41" s="58">
        <f t="shared" si="6"/>
        <v>6398432.5800000001</v>
      </c>
      <c r="M41" s="59">
        <f t="shared" si="7"/>
        <v>0</v>
      </c>
      <c r="N41" s="80"/>
    </row>
    <row r="42" spans="1:14" ht="14.45" x14ac:dyDescent="0.3">
      <c r="A42" s="34" t="s">
        <v>21</v>
      </c>
      <c r="B42" s="34">
        <v>2017</v>
      </c>
      <c r="C42" s="34">
        <v>9</v>
      </c>
      <c r="D42" s="34" t="s">
        <v>24</v>
      </c>
      <c r="E42" s="34">
        <v>40810002</v>
      </c>
      <c r="F42" s="50">
        <v>43008</v>
      </c>
      <c r="G42" s="51">
        <v>6381592.54</v>
      </c>
      <c r="H42" s="58">
        <f t="shared" si="4"/>
        <v>6381592.54</v>
      </c>
      <c r="I42" s="69">
        <f t="shared" si="5"/>
        <v>0</v>
      </c>
      <c r="J42" s="58"/>
      <c r="K42" s="59"/>
      <c r="L42" s="58">
        <f t="shared" si="6"/>
        <v>6381592.54</v>
      </c>
      <c r="M42" s="59">
        <f t="shared" si="7"/>
        <v>0</v>
      </c>
      <c r="N42" s="80"/>
    </row>
    <row r="43" spans="1:14" ht="14.45" x14ac:dyDescent="0.3">
      <c r="A43" s="34" t="s">
        <v>21</v>
      </c>
      <c r="B43" s="34">
        <v>2017</v>
      </c>
      <c r="C43" s="34">
        <v>10</v>
      </c>
      <c r="D43" s="34" t="s">
        <v>24</v>
      </c>
      <c r="E43" s="34">
        <v>40810002</v>
      </c>
      <c r="F43" s="50">
        <v>43039</v>
      </c>
      <c r="G43" s="51">
        <v>6530321.6799999997</v>
      </c>
      <c r="H43" s="58">
        <f t="shared" si="4"/>
        <v>6530321.6799999997</v>
      </c>
      <c r="I43" s="69">
        <f t="shared" si="5"/>
        <v>0</v>
      </c>
      <c r="J43" s="58"/>
      <c r="K43" s="59"/>
      <c r="L43" s="58">
        <f t="shared" si="6"/>
        <v>6530321.6799999997</v>
      </c>
      <c r="M43" s="59">
        <f t="shared" si="7"/>
        <v>0</v>
      </c>
      <c r="N43" s="80"/>
    </row>
    <row r="44" spans="1:14" ht="14.45" x14ac:dyDescent="0.3">
      <c r="A44" s="34" t="s">
        <v>21</v>
      </c>
      <c r="B44" s="34">
        <v>2017</v>
      </c>
      <c r="C44" s="34">
        <v>11</v>
      </c>
      <c r="D44" s="34" t="s">
        <v>24</v>
      </c>
      <c r="E44" s="34">
        <v>40810002</v>
      </c>
      <c r="F44" s="50">
        <v>43069</v>
      </c>
      <c r="G44" s="51">
        <v>7454606.9199999999</v>
      </c>
      <c r="H44" s="58">
        <f t="shared" si="4"/>
        <v>7454606.9199999999</v>
      </c>
      <c r="I44" s="69">
        <f t="shared" si="5"/>
        <v>0</v>
      </c>
      <c r="J44" s="58"/>
      <c r="K44" s="59"/>
      <c r="L44" s="58">
        <f t="shared" si="6"/>
        <v>7454606.9199999999</v>
      </c>
      <c r="M44" s="59">
        <f t="shared" si="7"/>
        <v>0</v>
      </c>
      <c r="N44" s="80"/>
    </row>
    <row r="45" spans="1:14" ht="14.45" x14ac:dyDescent="0.3">
      <c r="A45" s="34" t="s">
        <v>21</v>
      </c>
      <c r="B45" s="34">
        <v>2017</v>
      </c>
      <c r="C45" s="34">
        <v>12</v>
      </c>
      <c r="D45" s="34" t="s">
        <v>24</v>
      </c>
      <c r="E45" s="34">
        <v>40810002</v>
      </c>
      <c r="F45" s="50">
        <v>43100</v>
      </c>
      <c r="G45" s="51">
        <v>8353673.7800000003</v>
      </c>
      <c r="H45" s="58">
        <f t="shared" si="4"/>
        <v>8353673.7800000003</v>
      </c>
      <c r="I45" s="69">
        <f t="shared" si="5"/>
        <v>0</v>
      </c>
      <c r="J45" s="58"/>
      <c r="K45" s="59"/>
      <c r="L45" s="58">
        <f t="shared" si="6"/>
        <v>8353673.7800000003</v>
      </c>
      <c r="M45" s="59">
        <f t="shared" si="7"/>
        <v>0</v>
      </c>
      <c r="N45" s="80"/>
    </row>
    <row r="46" spans="1:14" ht="14.45" x14ac:dyDescent="0.3">
      <c r="A46" s="34" t="s">
        <v>21</v>
      </c>
      <c r="B46" s="34">
        <v>2018</v>
      </c>
      <c r="C46" s="34">
        <v>1</v>
      </c>
      <c r="D46" s="34" t="s">
        <v>24</v>
      </c>
      <c r="E46" s="34">
        <v>40810002</v>
      </c>
      <c r="F46" s="50">
        <v>43131</v>
      </c>
      <c r="G46" s="51">
        <v>8295343.4100000001</v>
      </c>
      <c r="H46" s="58">
        <f t="shared" si="4"/>
        <v>8295343.4100000001</v>
      </c>
      <c r="I46" s="69">
        <f t="shared" si="5"/>
        <v>0</v>
      </c>
      <c r="J46" s="58"/>
      <c r="K46" s="59"/>
      <c r="L46" s="58">
        <f t="shared" si="6"/>
        <v>8295343.4100000001</v>
      </c>
      <c r="M46" s="59">
        <f t="shared" si="7"/>
        <v>0</v>
      </c>
      <c r="N46" s="80"/>
    </row>
    <row r="47" spans="1:14" ht="14.45" x14ac:dyDescent="0.3">
      <c r="A47" s="34" t="s">
        <v>21</v>
      </c>
      <c r="B47" s="34">
        <v>2018</v>
      </c>
      <c r="C47" s="34">
        <v>2</v>
      </c>
      <c r="D47" s="34" t="s">
        <v>24</v>
      </c>
      <c r="E47" s="34">
        <v>40810002</v>
      </c>
      <c r="F47" s="50">
        <v>43159</v>
      </c>
      <c r="G47" s="51">
        <v>9676828.0299999993</v>
      </c>
      <c r="H47" s="58">
        <f t="shared" si="4"/>
        <v>9676828.0299999993</v>
      </c>
      <c r="I47" s="69">
        <f t="shared" si="5"/>
        <v>0</v>
      </c>
      <c r="J47" s="58"/>
      <c r="K47" s="59"/>
      <c r="L47" s="58">
        <f t="shared" si="6"/>
        <v>9676828.0299999993</v>
      </c>
      <c r="M47" s="59">
        <f t="shared" si="7"/>
        <v>0</v>
      </c>
      <c r="N47" s="80"/>
    </row>
    <row r="48" spans="1:14" ht="14.45" x14ac:dyDescent="0.3">
      <c r="A48" s="34" t="s">
        <v>21</v>
      </c>
      <c r="B48" s="34">
        <v>2018</v>
      </c>
      <c r="C48" s="34">
        <v>3</v>
      </c>
      <c r="D48" s="34" t="s">
        <v>24</v>
      </c>
      <c r="E48" s="34">
        <v>40810002</v>
      </c>
      <c r="F48" s="50">
        <v>43190</v>
      </c>
      <c r="G48" s="51">
        <v>8429131.5600000005</v>
      </c>
      <c r="H48" s="58">
        <f t="shared" si="4"/>
        <v>8429131.5600000005</v>
      </c>
      <c r="I48" s="69">
        <f t="shared" si="5"/>
        <v>0</v>
      </c>
      <c r="J48" s="58"/>
      <c r="K48" s="59"/>
      <c r="L48" s="58">
        <f t="shared" si="6"/>
        <v>8429131.5600000005</v>
      </c>
      <c r="M48" s="59">
        <f t="shared" si="7"/>
        <v>0</v>
      </c>
      <c r="N48" s="80"/>
    </row>
    <row r="49" spans="1:15" ht="14.45" x14ac:dyDescent="0.3">
      <c r="A49" s="34" t="s">
        <v>21</v>
      </c>
      <c r="B49" s="34">
        <v>2018</v>
      </c>
      <c r="C49" s="34">
        <v>4</v>
      </c>
      <c r="D49" s="34" t="s">
        <v>24</v>
      </c>
      <c r="E49" s="34">
        <v>40810002</v>
      </c>
      <c r="F49" s="50">
        <v>43220</v>
      </c>
      <c r="G49" s="51">
        <v>7414996</v>
      </c>
      <c r="H49" s="58">
        <f t="shared" si="4"/>
        <v>7414996</v>
      </c>
      <c r="I49" s="69">
        <f t="shared" si="5"/>
        <v>0</v>
      </c>
      <c r="J49" s="58"/>
      <c r="K49" s="59"/>
      <c r="L49" s="58">
        <f t="shared" si="6"/>
        <v>7414996</v>
      </c>
      <c r="M49" s="59">
        <f t="shared" si="7"/>
        <v>0</v>
      </c>
      <c r="N49" s="80"/>
    </row>
    <row r="50" spans="1:15" ht="14.45" x14ac:dyDescent="0.3">
      <c r="A50" s="34" t="s">
        <v>21</v>
      </c>
      <c r="B50" s="34">
        <v>2018</v>
      </c>
      <c r="C50" s="34">
        <v>5</v>
      </c>
      <c r="D50" s="34" t="s">
        <v>24</v>
      </c>
      <c r="E50" s="34">
        <v>40810002</v>
      </c>
      <c r="F50" s="50">
        <v>43251</v>
      </c>
      <c r="G50" s="51">
        <v>6260943.8700000001</v>
      </c>
      <c r="H50" s="58">
        <f t="shared" si="4"/>
        <v>6260943.8700000001</v>
      </c>
      <c r="I50" s="69">
        <f t="shared" si="5"/>
        <v>0</v>
      </c>
      <c r="J50" s="58"/>
      <c r="K50" s="59"/>
      <c r="L50" s="58">
        <f t="shared" si="6"/>
        <v>6260943.8700000001</v>
      </c>
      <c r="M50" s="59">
        <f t="shared" si="7"/>
        <v>0</v>
      </c>
      <c r="N50" s="80"/>
    </row>
    <row r="51" spans="1:15" ht="14.45" x14ac:dyDescent="0.3">
      <c r="A51" s="34" t="s">
        <v>21</v>
      </c>
      <c r="B51" s="34">
        <v>2018</v>
      </c>
      <c r="C51" s="34">
        <v>6</v>
      </c>
      <c r="D51" s="34" t="s">
        <v>24</v>
      </c>
      <c r="E51" s="34">
        <v>40810002</v>
      </c>
      <c r="F51" s="50">
        <v>43281</v>
      </c>
      <c r="G51" s="51">
        <v>5732357.1200000001</v>
      </c>
      <c r="H51" s="58">
        <f t="shared" si="4"/>
        <v>5732357.1200000001</v>
      </c>
      <c r="I51" s="69">
        <f t="shared" si="5"/>
        <v>0</v>
      </c>
      <c r="J51" s="58"/>
      <c r="K51" s="59"/>
      <c r="L51" s="58">
        <f t="shared" si="6"/>
        <v>5732357.1200000001</v>
      </c>
      <c r="M51" s="59">
        <f t="shared" si="7"/>
        <v>0</v>
      </c>
      <c r="N51" s="80"/>
    </row>
    <row r="52" spans="1:15" ht="14.45" x14ac:dyDescent="0.3">
      <c r="A52" s="34" t="s">
        <v>21</v>
      </c>
      <c r="B52" s="34">
        <v>2017</v>
      </c>
      <c r="C52" s="34">
        <v>8</v>
      </c>
      <c r="D52" s="34" t="s">
        <v>131</v>
      </c>
      <c r="E52" s="34">
        <v>40810002</v>
      </c>
      <c r="F52" s="50">
        <v>42948</v>
      </c>
      <c r="G52" s="51">
        <v>-2008178</v>
      </c>
      <c r="H52" s="58">
        <f t="shared" si="4"/>
        <v>-2008178</v>
      </c>
      <c r="I52" s="69">
        <f t="shared" si="5"/>
        <v>0</v>
      </c>
      <c r="J52" s="58"/>
      <c r="K52" s="59"/>
      <c r="L52" s="58">
        <f t="shared" si="6"/>
        <v>-2008178</v>
      </c>
      <c r="M52" s="59">
        <f t="shared" si="7"/>
        <v>0</v>
      </c>
      <c r="N52" s="80"/>
    </row>
    <row r="53" spans="1:15" ht="14.45" x14ac:dyDescent="0.3">
      <c r="A53" s="34" t="s">
        <v>21</v>
      </c>
      <c r="B53" s="34">
        <v>2017</v>
      </c>
      <c r="C53" s="34">
        <v>9</v>
      </c>
      <c r="D53" s="34" t="s">
        <v>131</v>
      </c>
      <c r="E53" s="34">
        <v>40810002</v>
      </c>
      <c r="F53" s="50">
        <v>42985</v>
      </c>
      <c r="G53" s="51">
        <v>2008178</v>
      </c>
      <c r="H53" s="58">
        <f t="shared" si="4"/>
        <v>2008178</v>
      </c>
      <c r="I53" s="69">
        <f t="shared" si="5"/>
        <v>0</v>
      </c>
      <c r="J53" s="58"/>
      <c r="K53" s="59"/>
      <c r="L53" s="58">
        <f t="shared" si="6"/>
        <v>2008178</v>
      </c>
      <c r="M53" s="59">
        <f t="shared" si="7"/>
        <v>0</v>
      </c>
      <c r="N53" s="80"/>
    </row>
    <row r="54" spans="1:15" ht="14.45" x14ac:dyDescent="0.3">
      <c r="B54" s="143">
        <f>+'True-up prior period'!B2</f>
        <v>2018</v>
      </c>
      <c r="C54" s="143">
        <f>+'True-up prior period'!C2</f>
        <v>7</v>
      </c>
      <c r="D54" s="143" t="str">
        <f>+'True-up prior period'!D2</f>
        <v>No True-up</v>
      </c>
      <c r="E54" s="143">
        <f>+'True-up prior period'!E2</f>
        <v>0</v>
      </c>
      <c r="F54" s="144">
        <f>+'True-up prior period'!F2</f>
        <v>43312</v>
      </c>
      <c r="G54" s="145"/>
      <c r="H54" s="146"/>
      <c r="I54" s="147"/>
      <c r="J54" s="146">
        <f>+'True-up prior period'!G2</f>
        <v>0</v>
      </c>
      <c r="K54" s="147"/>
      <c r="L54" s="148">
        <f>+J54</f>
        <v>0</v>
      </c>
      <c r="M54" s="149">
        <f t="shared" si="7"/>
        <v>0</v>
      </c>
      <c r="N54" s="81">
        <v>2</v>
      </c>
    </row>
    <row r="55" spans="1:15" ht="14.45" x14ac:dyDescent="0.3">
      <c r="A55" s="44" t="s">
        <v>15</v>
      </c>
      <c r="B55" s="44" t="s">
        <v>15</v>
      </c>
      <c r="C55" s="44" t="s">
        <v>15</v>
      </c>
      <c r="D55" s="44" t="s">
        <v>15</v>
      </c>
      <c r="E55" s="44" t="s">
        <v>15</v>
      </c>
      <c r="F55" s="110"/>
      <c r="G55" s="111">
        <f>SUM(G6:G54)</f>
        <v>87126874.600000009</v>
      </c>
      <c r="H55" s="111">
        <f>SUM(H6:H54)</f>
        <v>87126874.600000009</v>
      </c>
      <c r="I55" s="111">
        <f t="shared" ref="I55:M55" si="8">SUM(I6:I54)</f>
        <v>0</v>
      </c>
      <c r="J55" s="111">
        <f t="shared" si="8"/>
        <v>23079.96</v>
      </c>
      <c r="K55" s="111">
        <f t="shared" si="8"/>
        <v>0</v>
      </c>
      <c r="L55" s="111">
        <f t="shared" si="8"/>
        <v>87149954.560000017</v>
      </c>
      <c r="M55" s="111">
        <f t="shared" si="8"/>
        <v>0</v>
      </c>
      <c r="N55" s="80"/>
      <c r="O55" s="98"/>
    </row>
    <row r="56" spans="1:15" ht="14.45" x14ac:dyDescent="0.3">
      <c r="A56" s="52" t="s">
        <v>39</v>
      </c>
      <c r="C56" s="53"/>
      <c r="D56" s="32"/>
      <c r="E56" s="32"/>
      <c r="F56" s="33"/>
      <c r="G56" s="32"/>
      <c r="H56" s="62"/>
      <c r="I56" s="61"/>
      <c r="J56" s="62"/>
      <c r="K56" s="61"/>
      <c r="L56" s="60"/>
      <c r="M56" s="59"/>
      <c r="N56" s="80"/>
    </row>
    <row r="57" spans="1:15" ht="14.45" x14ac:dyDescent="0.3">
      <c r="A57" s="28" t="s">
        <v>21</v>
      </c>
      <c r="B57" s="28">
        <v>2017</v>
      </c>
      <c r="C57" s="28">
        <v>7</v>
      </c>
      <c r="D57" s="28" t="s">
        <v>26</v>
      </c>
      <c r="E57" s="28">
        <v>40810302</v>
      </c>
      <c r="F57" s="112">
        <v>42947</v>
      </c>
      <c r="G57" s="113">
        <v>-785.58</v>
      </c>
      <c r="H57" s="62"/>
      <c r="I57" s="63">
        <f t="shared" ref="I57:I79" si="9">+G57</f>
        <v>-785.58</v>
      </c>
      <c r="J57" s="62"/>
      <c r="K57" s="63">
        <f>-I57</f>
        <v>785.58</v>
      </c>
      <c r="L57" s="66">
        <f t="shared" ref="L57" si="10">+H57+J57</f>
        <v>0</v>
      </c>
      <c r="M57" s="67">
        <f t="shared" ref="M57" si="11">+I57+K57</f>
        <v>0</v>
      </c>
      <c r="N57" s="81">
        <v>1</v>
      </c>
    </row>
    <row r="58" spans="1:15" ht="14.45" x14ac:dyDescent="0.3">
      <c r="A58" s="28" t="s">
        <v>21</v>
      </c>
      <c r="B58" s="28">
        <v>2017</v>
      </c>
      <c r="C58" s="28">
        <v>8</v>
      </c>
      <c r="D58" s="28" t="s">
        <v>26</v>
      </c>
      <c r="E58" s="28">
        <v>40810302</v>
      </c>
      <c r="F58" s="112">
        <v>42978</v>
      </c>
      <c r="G58" s="113">
        <v>-3851.03</v>
      </c>
      <c r="H58" s="60"/>
      <c r="I58" s="63">
        <f t="shared" si="9"/>
        <v>-3851.03</v>
      </c>
      <c r="J58" s="60"/>
      <c r="K58" s="59"/>
      <c r="L58" s="66">
        <f t="shared" ref="L58:M65" si="12">+H58+J58</f>
        <v>0</v>
      </c>
      <c r="M58" s="67">
        <f t="shared" si="12"/>
        <v>-3851.03</v>
      </c>
      <c r="N58" s="80"/>
    </row>
    <row r="59" spans="1:15" ht="14.45" x14ac:dyDescent="0.3">
      <c r="A59" s="28" t="s">
        <v>21</v>
      </c>
      <c r="B59" s="28">
        <v>2017</v>
      </c>
      <c r="C59" s="28">
        <v>9</v>
      </c>
      <c r="D59" s="28" t="s">
        <v>26</v>
      </c>
      <c r="E59" s="28">
        <v>40810302</v>
      </c>
      <c r="F59" s="112">
        <v>43008</v>
      </c>
      <c r="G59" s="113">
        <v>-63.23</v>
      </c>
      <c r="H59" s="60"/>
      <c r="I59" s="63">
        <f t="shared" si="9"/>
        <v>-63.23</v>
      </c>
      <c r="J59" s="60"/>
      <c r="K59" s="59"/>
      <c r="L59" s="66">
        <f t="shared" si="12"/>
        <v>0</v>
      </c>
      <c r="M59" s="67">
        <f t="shared" si="12"/>
        <v>-63.23</v>
      </c>
      <c r="N59" s="80"/>
    </row>
    <row r="60" spans="1:15" ht="14.45" x14ac:dyDescent="0.3">
      <c r="A60" s="28" t="s">
        <v>21</v>
      </c>
      <c r="B60" s="28">
        <v>2017</v>
      </c>
      <c r="C60" s="28">
        <v>10</v>
      </c>
      <c r="D60" s="28" t="s">
        <v>26</v>
      </c>
      <c r="E60" s="28">
        <v>40810302</v>
      </c>
      <c r="F60" s="112">
        <v>43039</v>
      </c>
      <c r="G60" s="113">
        <v>-60.36</v>
      </c>
      <c r="H60" s="60"/>
      <c r="I60" s="63">
        <f t="shared" si="9"/>
        <v>-60.36</v>
      </c>
      <c r="J60" s="60"/>
      <c r="K60" s="59"/>
      <c r="L60" s="66">
        <f t="shared" si="12"/>
        <v>0</v>
      </c>
      <c r="M60" s="67">
        <f t="shared" si="12"/>
        <v>-60.36</v>
      </c>
      <c r="N60" s="80"/>
    </row>
    <row r="61" spans="1:15" ht="14.45" x14ac:dyDescent="0.3">
      <c r="A61" s="28" t="s">
        <v>21</v>
      </c>
      <c r="B61" s="28">
        <v>2017</v>
      </c>
      <c r="C61" s="28">
        <v>11</v>
      </c>
      <c r="D61" s="28" t="s">
        <v>26</v>
      </c>
      <c r="E61" s="28">
        <v>40810302</v>
      </c>
      <c r="F61" s="112">
        <v>43069</v>
      </c>
      <c r="G61" s="113">
        <v>-180.37</v>
      </c>
      <c r="H61" s="60"/>
      <c r="I61" s="63">
        <f t="shared" si="9"/>
        <v>-180.37</v>
      </c>
      <c r="J61" s="60"/>
      <c r="K61" s="59"/>
      <c r="L61" s="66">
        <f t="shared" si="12"/>
        <v>0</v>
      </c>
      <c r="M61" s="67">
        <f t="shared" si="12"/>
        <v>-180.37</v>
      </c>
      <c r="N61" s="80"/>
    </row>
    <row r="62" spans="1:15" ht="14.45" x14ac:dyDescent="0.3">
      <c r="A62" s="28" t="s">
        <v>21</v>
      </c>
      <c r="B62" s="28">
        <v>2017</v>
      </c>
      <c r="C62" s="28">
        <v>12</v>
      </c>
      <c r="D62" s="28" t="s">
        <v>26</v>
      </c>
      <c r="E62" s="28">
        <v>40810302</v>
      </c>
      <c r="F62" s="112">
        <v>43100</v>
      </c>
      <c r="G62" s="113">
        <v>-276.24</v>
      </c>
      <c r="H62" s="60"/>
      <c r="I62" s="63">
        <f t="shared" si="9"/>
        <v>-276.24</v>
      </c>
      <c r="J62" s="60"/>
      <c r="K62" s="59"/>
      <c r="L62" s="66">
        <f t="shared" si="12"/>
        <v>0</v>
      </c>
      <c r="M62" s="67">
        <f t="shared" si="12"/>
        <v>-276.24</v>
      </c>
      <c r="N62" s="80"/>
    </row>
    <row r="63" spans="1:15" ht="14.45" x14ac:dyDescent="0.3">
      <c r="A63" s="28" t="s">
        <v>21</v>
      </c>
      <c r="B63" s="28">
        <v>2018</v>
      </c>
      <c r="C63" s="28">
        <v>1</v>
      </c>
      <c r="D63" s="28" t="s">
        <v>26</v>
      </c>
      <c r="E63" s="28">
        <v>40810302</v>
      </c>
      <c r="F63" s="112">
        <v>43131</v>
      </c>
      <c r="G63" s="113">
        <v>-365.03</v>
      </c>
      <c r="H63" s="60"/>
      <c r="I63" s="63">
        <f t="shared" si="9"/>
        <v>-365.03</v>
      </c>
      <c r="J63" s="60"/>
      <c r="K63" s="59"/>
      <c r="L63" s="66">
        <f t="shared" si="12"/>
        <v>0</v>
      </c>
      <c r="M63" s="67">
        <f t="shared" si="12"/>
        <v>-365.03</v>
      </c>
      <c r="N63" s="80"/>
    </row>
    <row r="64" spans="1:15" ht="14.45" x14ac:dyDescent="0.3">
      <c r="A64" s="28" t="s">
        <v>21</v>
      </c>
      <c r="B64" s="28">
        <v>2018</v>
      </c>
      <c r="C64" s="28">
        <v>2</v>
      </c>
      <c r="D64" s="28" t="s">
        <v>26</v>
      </c>
      <c r="E64" s="28">
        <v>40810302</v>
      </c>
      <c r="F64" s="112">
        <v>43159</v>
      </c>
      <c r="G64" s="113">
        <v>-407.26</v>
      </c>
      <c r="H64" s="60"/>
      <c r="I64" s="63">
        <f t="shared" si="9"/>
        <v>-407.26</v>
      </c>
      <c r="J64" s="60"/>
      <c r="K64" s="59"/>
      <c r="L64" s="66">
        <f t="shared" si="12"/>
        <v>0</v>
      </c>
      <c r="M64" s="67">
        <f t="shared" si="12"/>
        <v>-407.26</v>
      </c>
      <c r="N64" s="80"/>
    </row>
    <row r="65" spans="1:14" ht="14.45" x14ac:dyDescent="0.3">
      <c r="A65" s="28" t="s">
        <v>21</v>
      </c>
      <c r="B65" s="28">
        <v>2018</v>
      </c>
      <c r="C65" s="28">
        <v>4</v>
      </c>
      <c r="D65" s="28" t="s">
        <v>26</v>
      </c>
      <c r="E65" s="28">
        <v>40810302</v>
      </c>
      <c r="F65" s="112">
        <v>43220</v>
      </c>
      <c r="G65" s="113">
        <v>-391.45</v>
      </c>
      <c r="H65" s="60"/>
      <c r="I65" s="63">
        <f t="shared" si="9"/>
        <v>-391.45</v>
      </c>
      <c r="J65" s="60"/>
      <c r="K65" s="59"/>
      <c r="L65" s="66">
        <f t="shared" si="12"/>
        <v>0</v>
      </c>
      <c r="M65" s="67">
        <f t="shared" si="12"/>
        <v>-391.45</v>
      </c>
      <c r="N65" s="80"/>
    </row>
    <row r="66" spans="1:14" ht="14.45" x14ac:dyDescent="0.3">
      <c r="A66" s="28" t="s">
        <v>21</v>
      </c>
      <c r="B66" s="28">
        <v>2018</v>
      </c>
      <c r="C66" s="28">
        <v>5</v>
      </c>
      <c r="D66" s="28" t="s">
        <v>26</v>
      </c>
      <c r="E66" s="28">
        <v>40810302</v>
      </c>
      <c r="F66" s="112">
        <v>43251</v>
      </c>
      <c r="G66" s="113">
        <v>-260.64</v>
      </c>
      <c r="H66" s="60"/>
      <c r="I66" s="63">
        <f t="shared" si="9"/>
        <v>-260.64</v>
      </c>
      <c r="J66" s="60"/>
      <c r="K66" s="59"/>
      <c r="L66" s="66"/>
      <c r="M66" s="67"/>
      <c r="N66" s="80"/>
    </row>
    <row r="67" spans="1:14" ht="14.45" x14ac:dyDescent="0.3">
      <c r="A67" s="28" t="s">
        <v>21</v>
      </c>
      <c r="B67" s="28">
        <v>2018</v>
      </c>
      <c r="C67" s="28">
        <v>6</v>
      </c>
      <c r="D67" s="28" t="s">
        <v>26</v>
      </c>
      <c r="E67" s="28">
        <v>40810302</v>
      </c>
      <c r="F67" s="112">
        <v>43281</v>
      </c>
      <c r="G67" s="113">
        <v>-137.6</v>
      </c>
      <c r="H67" s="60"/>
      <c r="I67" s="63">
        <f t="shared" si="9"/>
        <v>-137.6</v>
      </c>
      <c r="J67" s="60"/>
      <c r="K67" s="59"/>
      <c r="L67" s="66"/>
      <c r="M67" s="67"/>
      <c r="N67" s="80"/>
    </row>
    <row r="68" spans="1:14" ht="14.45" x14ac:dyDescent="0.3">
      <c r="A68" s="28" t="s">
        <v>21</v>
      </c>
      <c r="B68" s="28">
        <v>2017</v>
      </c>
      <c r="C68" s="28">
        <v>7</v>
      </c>
      <c r="D68" s="28" t="s">
        <v>27</v>
      </c>
      <c r="E68" s="28">
        <v>40810302</v>
      </c>
      <c r="F68" s="112">
        <v>42947</v>
      </c>
      <c r="G68" s="113">
        <v>1527635.94</v>
      </c>
      <c r="H68" s="60"/>
      <c r="I68" s="63">
        <f t="shared" si="9"/>
        <v>1527635.94</v>
      </c>
      <c r="J68" s="60"/>
      <c r="K68" s="59"/>
      <c r="L68" s="66">
        <f t="shared" ref="L68:L79" si="13">+H68+J68</f>
        <v>0</v>
      </c>
      <c r="M68" s="67">
        <f t="shared" ref="M68:M79" si="14">+I68+K68</f>
        <v>1527635.94</v>
      </c>
      <c r="N68" s="80"/>
    </row>
    <row r="69" spans="1:14" ht="14.45" x14ac:dyDescent="0.3">
      <c r="A69" s="28" t="s">
        <v>21</v>
      </c>
      <c r="B69" s="28">
        <v>2017</v>
      </c>
      <c r="C69" s="28">
        <v>8</v>
      </c>
      <c r="D69" s="28" t="s">
        <v>27</v>
      </c>
      <c r="E69" s="28">
        <v>40810302</v>
      </c>
      <c r="F69" s="112">
        <v>42978</v>
      </c>
      <c r="G69" s="113">
        <v>1334828.06</v>
      </c>
      <c r="H69" s="60"/>
      <c r="I69" s="63">
        <f t="shared" si="9"/>
        <v>1334828.06</v>
      </c>
      <c r="J69" s="60"/>
      <c r="K69" s="59"/>
      <c r="L69" s="66">
        <f t="shared" si="13"/>
        <v>0</v>
      </c>
      <c r="M69" s="67">
        <f t="shared" si="14"/>
        <v>1334828.06</v>
      </c>
      <c r="N69" s="80"/>
    </row>
    <row r="70" spans="1:14" ht="14.45" x14ac:dyDescent="0.3">
      <c r="A70" s="28" t="s">
        <v>21</v>
      </c>
      <c r="B70" s="28">
        <v>2017</v>
      </c>
      <c r="C70" s="28">
        <v>9</v>
      </c>
      <c r="D70" s="28" t="s">
        <v>27</v>
      </c>
      <c r="E70" s="28">
        <v>40810302</v>
      </c>
      <c r="F70" s="112">
        <v>43008</v>
      </c>
      <c r="G70" s="113">
        <v>1404092.34</v>
      </c>
      <c r="H70" s="60"/>
      <c r="I70" s="63">
        <f t="shared" si="9"/>
        <v>1404092.34</v>
      </c>
      <c r="J70" s="60"/>
      <c r="K70" s="59"/>
      <c r="L70" s="66">
        <f t="shared" si="13"/>
        <v>0</v>
      </c>
      <c r="M70" s="67">
        <f t="shared" si="14"/>
        <v>1404092.34</v>
      </c>
      <c r="N70" s="80"/>
    </row>
    <row r="71" spans="1:14" ht="14.45" x14ac:dyDescent="0.3">
      <c r="A71" s="28" t="s">
        <v>21</v>
      </c>
      <c r="B71" s="28">
        <v>2017</v>
      </c>
      <c r="C71" s="28">
        <v>10</v>
      </c>
      <c r="D71" s="28" t="s">
        <v>27</v>
      </c>
      <c r="E71" s="28">
        <v>40810302</v>
      </c>
      <c r="F71" s="112">
        <v>43039</v>
      </c>
      <c r="G71" s="113">
        <v>2165008.86</v>
      </c>
      <c r="H71" s="60"/>
      <c r="I71" s="63">
        <f t="shared" si="9"/>
        <v>2165008.86</v>
      </c>
      <c r="J71" s="60"/>
      <c r="K71" s="59"/>
      <c r="L71" s="66">
        <f t="shared" si="13"/>
        <v>0</v>
      </c>
      <c r="M71" s="67">
        <f t="shared" si="14"/>
        <v>2165008.86</v>
      </c>
      <c r="N71" s="80"/>
    </row>
    <row r="72" spans="1:14" ht="14.45" x14ac:dyDescent="0.3">
      <c r="A72" s="28" t="s">
        <v>21</v>
      </c>
      <c r="B72" s="28">
        <v>2017</v>
      </c>
      <c r="C72" s="28">
        <v>11</v>
      </c>
      <c r="D72" s="28" t="s">
        <v>27</v>
      </c>
      <c r="E72" s="28">
        <v>40810302</v>
      </c>
      <c r="F72" s="112">
        <v>43069</v>
      </c>
      <c r="G72" s="113">
        <v>3571067.72</v>
      </c>
      <c r="H72" s="60"/>
      <c r="I72" s="63">
        <f t="shared" si="9"/>
        <v>3571067.72</v>
      </c>
      <c r="J72" s="60"/>
      <c r="K72" s="59"/>
      <c r="L72" s="66">
        <f t="shared" si="13"/>
        <v>0</v>
      </c>
      <c r="M72" s="67">
        <f t="shared" si="14"/>
        <v>3571067.72</v>
      </c>
      <c r="N72" s="80"/>
    </row>
    <row r="73" spans="1:14" ht="14.45" x14ac:dyDescent="0.3">
      <c r="A73" s="28" t="s">
        <v>21</v>
      </c>
      <c r="B73" s="28">
        <v>2017</v>
      </c>
      <c r="C73" s="28">
        <v>12</v>
      </c>
      <c r="D73" s="28" t="s">
        <v>27</v>
      </c>
      <c r="E73" s="28">
        <v>40810302</v>
      </c>
      <c r="F73" s="112">
        <v>43100</v>
      </c>
      <c r="G73" s="113">
        <v>4579373.1399999997</v>
      </c>
      <c r="H73" s="60"/>
      <c r="I73" s="63">
        <f t="shared" si="9"/>
        <v>4579373.1399999997</v>
      </c>
      <c r="J73" s="60"/>
      <c r="K73" s="59"/>
      <c r="L73" s="66">
        <f t="shared" si="13"/>
        <v>0</v>
      </c>
      <c r="M73" s="67">
        <f t="shared" si="14"/>
        <v>4579373.1399999997</v>
      </c>
      <c r="N73" s="80"/>
    </row>
    <row r="74" spans="1:14" ht="14.45" x14ac:dyDescent="0.3">
      <c r="A74" s="28" t="s">
        <v>21</v>
      </c>
      <c r="B74" s="28">
        <v>2018</v>
      </c>
      <c r="C74" s="28">
        <v>1</v>
      </c>
      <c r="D74" s="28" t="s">
        <v>27</v>
      </c>
      <c r="E74" s="28">
        <v>40810302</v>
      </c>
      <c r="F74" s="112">
        <v>43131</v>
      </c>
      <c r="G74" s="113">
        <v>4282210.43</v>
      </c>
      <c r="H74" s="60"/>
      <c r="I74" s="63">
        <f t="shared" si="9"/>
        <v>4282210.43</v>
      </c>
      <c r="J74" s="60"/>
      <c r="K74" s="59"/>
      <c r="L74" s="66">
        <f t="shared" si="13"/>
        <v>0</v>
      </c>
      <c r="M74" s="67">
        <f t="shared" si="14"/>
        <v>4282210.43</v>
      </c>
      <c r="N74" s="80"/>
    </row>
    <row r="75" spans="1:14" ht="14.45" x14ac:dyDescent="0.3">
      <c r="A75" s="28" t="s">
        <v>21</v>
      </c>
      <c r="B75" s="28">
        <v>2018</v>
      </c>
      <c r="C75" s="28">
        <v>2</v>
      </c>
      <c r="D75" s="28" t="s">
        <v>27</v>
      </c>
      <c r="E75" s="28">
        <v>40810302</v>
      </c>
      <c r="F75" s="112">
        <v>43159</v>
      </c>
      <c r="G75" s="113">
        <v>5281618.34</v>
      </c>
      <c r="H75" s="60"/>
      <c r="I75" s="63">
        <f t="shared" si="9"/>
        <v>5281618.34</v>
      </c>
      <c r="J75" s="60"/>
      <c r="K75" s="59"/>
      <c r="L75" s="66">
        <f t="shared" si="13"/>
        <v>0</v>
      </c>
      <c r="M75" s="67">
        <f t="shared" si="14"/>
        <v>5281618.34</v>
      </c>
      <c r="N75" s="80"/>
    </row>
    <row r="76" spans="1:14" ht="14.45" x14ac:dyDescent="0.3">
      <c r="A76" s="28" t="s">
        <v>21</v>
      </c>
      <c r="B76" s="28">
        <v>2018</v>
      </c>
      <c r="C76" s="28">
        <v>3</v>
      </c>
      <c r="D76" s="28" t="s">
        <v>27</v>
      </c>
      <c r="E76" s="28">
        <v>40810302</v>
      </c>
      <c r="F76" s="112">
        <v>43190</v>
      </c>
      <c r="G76" s="113">
        <v>4584078.1399999997</v>
      </c>
      <c r="H76" s="60"/>
      <c r="I76" s="63">
        <f t="shared" si="9"/>
        <v>4584078.1399999997</v>
      </c>
      <c r="J76" s="60"/>
      <c r="K76" s="59"/>
      <c r="L76" s="66">
        <f t="shared" si="13"/>
        <v>0</v>
      </c>
      <c r="M76" s="67">
        <f t="shared" si="14"/>
        <v>4584078.1399999997</v>
      </c>
      <c r="N76" s="80"/>
    </row>
    <row r="77" spans="1:14" ht="14.45" x14ac:dyDescent="0.3">
      <c r="A77" s="28" t="s">
        <v>21</v>
      </c>
      <c r="B77" s="28">
        <v>2018</v>
      </c>
      <c r="C77" s="28">
        <v>4</v>
      </c>
      <c r="D77" s="28" t="s">
        <v>27</v>
      </c>
      <c r="E77" s="28">
        <v>40810302</v>
      </c>
      <c r="F77" s="112">
        <v>43220</v>
      </c>
      <c r="G77" s="113">
        <v>3492817.71</v>
      </c>
      <c r="H77" s="60"/>
      <c r="I77" s="63">
        <f t="shared" si="9"/>
        <v>3492817.71</v>
      </c>
      <c r="J77" s="60"/>
      <c r="K77" s="59"/>
      <c r="L77" s="66">
        <f t="shared" si="13"/>
        <v>0</v>
      </c>
      <c r="M77" s="67">
        <f t="shared" si="14"/>
        <v>3492817.71</v>
      </c>
      <c r="N77" s="80"/>
    </row>
    <row r="78" spans="1:14" ht="14.45" x14ac:dyDescent="0.3">
      <c r="A78" s="28" t="s">
        <v>21</v>
      </c>
      <c r="B78" s="28">
        <v>2018</v>
      </c>
      <c r="C78" s="28">
        <v>5</v>
      </c>
      <c r="D78" s="28" t="s">
        <v>27</v>
      </c>
      <c r="E78" s="28">
        <v>40810302</v>
      </c>
      <c r="F78" s="112">
        <v>43251</v>
      </c>
      <c r="G78" s="113">
        <v>2253209.8199999998</v>
      </c>
      <c r="H78" s="60"/>
      <c r="I78" s="63">
        <f t="shared" si="9"/>
        <v>2253209.8199999998</v>
      </c>
      <c r="J78" s="60"/>
      <c r="K78" s="59"/>
      <c r="L78" s="66">
        <f t="shared" si="13"/>
        <v>0</v>
      </c>
      <c r="M78" s="67">
        <f t="shared" si="14"/>
        <v>2253209.8199999998</v>
      </c>
      <c r="N78" s="80"/>
    </row>
    <row r="79" spans="1:14" ht="14.45" x14ac:dyDescent="0.3">
      <c r="A79" s="28" t="s">
        <v>21</v>
      </c>
      <c r="B79" s="28">
        <v>2018</v>
      </c>
      <c r="C79" s="28">
        <v>6</v>
      </c>
      <c r="D79" s="28" t="s">
        <v>27</v>
      </c>
      <c r="E79" s="28">
        <v>40810302</v>
      </c>
      <c r="F79" s="112">
        <v>43281</v>
      </c>
      <c r="G79" s="113">
        <v>1605126.64</v>
      </c>
      <c r="H79" s="60"/>
      <c r="I79" s="63">
        <f t="shared" si="9"/>
        <v>1605126.64</v>
      </c>
      <c r="J79" s="60"/>
      <c r="K79" s="59"/>
      <c r="L79" s="66">
        <f t="shared" si="13"/>
        <v>0</v>
      </c>
      <c r="M79" s="67">
        <f t="shared" si="14"/>
        <v>1605126.64</v>
      </c>
      <c r="N79" s="80"/>
    </row>
    <row r="80" spans="1:14" ht="14.45" x14ac:dyDescent="0.3">
      <c r="A80" s="28" t="s">
        <v>21</v>
      </c>
      <c r="B80" s="28">
        <v>2017</v>
      </c>
      <c r="C80" s="28">
        <v>7</v>
      </c>
      <c r="D80" s="28" t="s">
        <v>25</v>
      </c>
      <c r="E80" s="28">
        <v>40810302</v>
      </c>
      <c r="F80" s="112">
        <v>42934</v>
      </c>
      <c r="G80" s="113">
        <v>-889185.64</v>
      </c>
      <c r="H80" s="60"/>
      <c r="I80" s="63">
        <f t="shared" ref="I80:I106" si="15">+G80</f>
        <v>-889185.64</v>
      </c>
      <c r="J80" s="62"/>
      <c r="K80" s="63"/>
      <c r="L80" s="66">
        <f t="shared" ref="L80:L103" si="16">+H80+J80</f>
        <v>0</v>
      </c>
      <c r="M80" s="67">
        <f t="shared" ref="M80:M107" si="17">+I80+K80</f>
        <v>-889185.64</v>
      </c>
      <c r="N80" s="81"/>
    </row>
    <row r="81" spans="1:14" ht="14.45" x14ac:dyDescent="0.3">
      <c r="A81" s="28" t="s">
        <v>21</v>
      </c>
      <c r="B81" s="28">
        <v>2017</v>
      </c>
      <c r="C81" s="28">
        <v>7</v>
      </c>
      <c r="D81" s="28" t="s">
        <v>25</v>
      </c>
      <c r="E81" s="28">
        <v>40810302</v>
      </c>
      <c r="F81" s="112">
        <v>42947</v>
      </c>
      <c r="G81" s="113">
        <v>835992.13</v>
      </c>
      <c r="H81" s="60"/>
      <c r="I81" s="63">
        <f t="shared" si="15"/>
        <v>835992.13</v>
      </c>
      <c r="J81" s="60"/>
      <c r="K81" s="59"/>
      <c r="L81" s="66">
        <f t="shared" si="16"/>
        <v>0</v>
      </c>
      <c r="M81" s="67">
        <f t="shared" si="17"/>
        <v>835992.13</v>
      </c>
      <c r="N81" s="80"/>
    </row>
    <row r="82" spans="1:14" ht="14.45" x14ac:dyDescent="0.3">
      <c r="A82" s="28" t="s">
        <v>21</v>
      </c>
      <c r="B82" s="28">
        <v>2017</v>
      </c>
      <c r="C82" s="28">
        <v>8</v>
      </c>
      <c r="D82" s="28" t="s">
        <v>25</v>
      </c>
      <c r="E82" s="28">
        <v>40810302</v>
      </c>
      <c r="F82" s="112">
        <v>42955</v>
      </c>
      <c r="G82" s="113">
        <v>-835992.13</v>
      </c>
      <c r="H82" s="60"/>
      <c r="I82" s="63">
        <f t="shared" si="15"/>
        <v>-835992.13</v>
      </c>
      <c r="J82" s="60"/>
      <c r="K82" s="59"/>
      <c r="L82" s="66">
        <f t="shared" si="16"/>
        <v>0</v>
      </c>
      <c r="M82" s="67">
        <f t="shared" si="17"/>
        <v>-835992.13</v>
      </c>
      <c r="N82" s="80"/>
    </row>
    <row r="83" spans="1:14" ht="14.45" x14ac:dyDescent="0.3">
      <c r="A83" s="28" t="s">
        <v>21</v>
      </c>
      <c r="B83" s="28">
        <v>2017</v>
      </c>
      <c r="C83" s="28">
        <v>8</v>
      </c>
      <c r="D83" s="28" t="s">
        <v>25</v>
      </c>
      <c r="E83" s="28">
        <v>40810302</v>
      </c>
      <c r="F83" s="112">
        <v>42978</v>
      </c>
      <c r="G83" s="113">
        <v>848709.78</v>
      </c>
      <c r="H83" s="60"/>
      <c r="I83" s="63">
        <f t="shared" si="15"/>
        <v>848709.78</v>
      </c>
      <c r="J83" s="60"/>
      <c r="K83" s="59"/>
      <c r="L83" s="66">
        <f t="shared" si="16"/>
        <v>0</v>
      </c>
      <c r="M83" s="67">
        <f t="shared" si="17"/>
        <v>848709.78</v>
      </c>
      <c r="N83" s="80"/>
    </row>
    <row r="84" spans="1:14" ht="14.45" x14ac:dyDescent="0.3">
      <c r="A84" s="28" t="s">
        <v>21</v>
      </c>
      <c r="B84" s="28">
        <v>2017</v>
      </c>
      <c r="C84" s="28">
        <v>9</v>
      </c>
      <c r="D84" s="28" t="s">
        <v>25</v>
      </c>
      <c r="E84" s="28">
        <v>40810302</v>
      </c>
      <c r="F84" s="112">
        <v>42991</v>
      </c>
      <c r="G84" s="113">
        <v>-848709.78</v>
      </c>
      <c r="H84" s="60"/>
      <c r="I84" s="63">
        <f t="shared" si="15"/>
        <v>-848709.78</v>
      </c>
      <c r="J84" s="60"/>
      <c r="K84" s="59"/>
      <c r="L84" s="66">
        <f t="shared" si="16"/>
        <v>0</v>
      </c>
      <c r="M84" s="67">
        <f t="shared" si="17"/>
        <v>-848709.78</v>
      </c>
      <c r="N84" s="80"/>
    </row>
    <row r="85" spans="1:14" ht="14.45" x14ac:dyDescent="0.3">
      <c r="A85" s="28" t="s">
        <v>21</v>
      </c>
      <c r="B85" s="28">
        <v>2017</v>
      </c>
      <c r="C85" s="28">
        <v>9</v>
      </c>
      <c r="D85" s="28" t="s">
        <v>25</v>
      </c>
      <c r="E85" s="28">
        <v>40810302</v>
      </c>
      <c r="F85" s="112">
        <v>43008</v>
      </c>
      <c r="G85" s="113">
        <v>1001627.53</v>
      </c>
      <c r="H85" s="60"/>
      <c r="I85" s="63">
        <f t="shared" si="15"/>
        <v>1001627.53</v>
      </c>
      <c r="J85" s="60"/>
      <c r="K85" s="59"/>
      <c r="L85" s="66">
        <f t="shared" si="16"/>
        <v>0</v>
      </c>
      <c r="M85" s="67">
        <f t="shared" si="17"/>
        <v>1001627.53</v>
      </c>
      <c r="N85" s="80"/>
    </row>
    <row r="86" spans="1:14" ht="14.45" x14ac:dyDescent="0.3">
      <c r="A86" s="28" t="s">
        <v>21</v>
      </c>
      <c r="B86" s="28">
        <v>2017</v>
      </c>
      <c r="C86" s="28">
        <v>10</v>
      </c>
      <c r="D86" s="28" t="s">
        <v>25</v>
      </c>
      <c r="E86" s="28">
        <v>40810302</v>
      </c>
      <c r="F86" s="112">
        <v>43021</v>
      </c>
      <c r="G86" s="113">
        <v>-1001627.53</v>
      </c>
      <c r="H86" s="60"/>
      <c r="I86" s="63">
        <f t="shared" si="15"/>
        <v>-1001627.53</v>
      </c>
      <c r="J86" s="60"/>
      <c r="K86" s="59"/>
      <c r="L86" s="66">
        <f t="shared" si="16"/>
        <v>0</v>
      </c>
      <c r="M86" s="67">
        <f t="shared" si="17"/>
        <v>-1001627.53</v>
      </c>
      <c r="N86" s="80"/>
    </row>
    <row r="87" spans="1:14" ht="14.45" x14ac:dyDescent="0.3">
      <c r="A87" s="28" t="s">
        <v>21</v>
      </c>
      <c r="B87" s="28">
        <v>2017</v>
      </c>
      <c r="C87" s="28">
        <v>10</v>
      </c>
      <c r="D87" s="28" t="s">
        <v>25</v>
      </c>
      <c r="E87" s="28">
        <v>40810302</v>
      </c>
      <c r="F87" s="112">
        <v>43039</v>
      </c>
      <c r="G87" s="113">
        <v>1674073.2</v>
      </c>
      <c r="H87" s="60"/>
      <c r="I87" s="63">
        <f t="shared" si="15"/>
        <v>1674073.2</v>
      </c>
      <c r="J87" s="60"/>
      <c r="K87" s="59"/>
      <c r="L87" s="66">
        <f t="shared" si="16"/>
        <v>0</v>
      </c>
      <c r="M87" s="67">
        <f t="shared" si="17"/>
        <v>1674073.2</v>
      </c>
      <c r="N87" s="80"/>
    </row>
    <row r="88" spans="1:14" ht="14.45" x14ac:dyDescent="0.3">
      <c r="A88" s="28" t="s">
        <v>21</v>
      </c>
      <c r="B88" s="28">
        <v>2017</v>
      </c>
      <c r="C88" s="28">
        <v>11</v>
      </c>
      <c r="D88" s="28" t="s">
        <v>25</v>
      </c>
      <c r="E88" s="28">
        <v>40810302</v>
      </c>
      <c r="F88" s="112">
        <v>43049</v>
      </c>
      <c r="G88" s="113">
        <v>-1674073.2</v>
      </c>
      <c r="H88" s="60"/>
      <c r="I88" s="63">
        <f t="shared" si="15"/>
        <v>-1674073.2</v>
      </c>
      <c r="J88" s="60"/>
      <c r="K88" s="59"/>
      <c r="L88" s="66">
        <f t="shared" si="16"/>
        <v>0</v>
      </c>
      <c r="M88" s="67">
        <f t="shared" si="17"/>
        <v>-1674073.2</v>
      </c>
      <c r="N88" s="80"/>
    </row>
    <row r="89" spans="1:14" ht="14.45" x14ac:dyDescent="0.3">
      <c r="A89" s="28" t="s">
        <v>21</v>
      </c>
      <c r="B89" s="28">
        <v>2017</v>
      </c>
      <c r="C89" s="28">
        <v>11</v>
      </c>
      <c r="D89" s="28" t="s">
        <v>25</v>
      </c>
      <c r="E89" s="28">
        <v>40810302</v>
      </c>
      <c r="F89" s="112">
        <v>43069</v>
      </c>
      <c r="G89" s="113">
        <v>2133751.5</v>
      </c>
      <c r="H89" s="60"/>
      <c r="I89" s="63">
        <f t="shared" si="15"/>
        <v>2133751.5</v>
      </c>
      <c r="J89" s="60"/>
      <c r="K89" s="59"/>
      <c r="L89" s="66">
        <f t="shared" si="16"/>
        <v>0</v>
      </c>
      <c r="M89" s="67">
        <f t="shared" si="17"/>
        <v>2133751.5</v>
      </c>
      <c r="N89" s="80"/>
    </row>
    <row r="90" spans="1:14" ht="14.45" x14ac:dyDescent="0.3">
      <c r="A90" s="28" t="s">
        <v>21</v>
      </c>
      <c r="B90" s="28">
        <v>2017</v>
      </c>
      <c r="C90" s="28">
        <v>12</v>
      </c>
      <c r="D90" s="28" t="s">
        <v>25</v>
      </c>
      <c r="E90" s="28">
        <v>40810302</v>
      </c>
      <c r="F90" s="112">
        <v>43083</v>
      </c>
      <c r="G90" s="113">
        <v>-2133751.5</v>
      </c>
      <c r="H90" s="60"/>
      <c r="I90" s="63">
        <f t="shared" si="15"/>
        <v>-2133751.5</v>
      </c>
      <c r="J90" s="60"/>
      <c r="K90" s="59"/>
      <c r="L90" s="66">
        <f t="shared" si="16"/>
        <v>0</v>
      </c>
      <c r="M90" s="67">
        <f t="shared" si="17"/>
        <v>-2133751.5</v>
      </c>
      <c r="N90" s="80"/>
    </row>
    <row r="91" spans="1:14" ht="14.45" x14ac:dyDescent="0.3">
      <c r="A91" s="28" t="s">
        <v>21</v>
      </c>
      <c r="B91" s="28">
        <v>2017</v>
      </c>
      <c r="C91" s="28">
        <v>12</v>
      </c>
      <c r="D91" s="28" t="s">
        <v>25</v>
      </c>
      <c r="E91" s="28">
        <v>40810302</v>
      </c>
      <c r="F91" s="112">
        <v>43100</v>
      </c>
      <c r="G91" s="113">
        <v>2645086.54</v>
      </c>
      <c r="H91" s="60"/>
      <c r="I91" s="63">
        <f t="shared" si="15"/>
        <v>2645086.54</v>
      </c>
      <c r="J91" s="60"/>
      <c r="K91" s="59"/>
      <c r="L91" s="66">
        <f t="shared" si="16"/>
        <v>0</v>
      </c>
      <c r="M91" s="67">
        <f t="shared" si="17"/>
        <v>2645086.54</v>
      </c>
      <c r="N91" s="80"/>
    </row>
    <row r="92" spans="1:14" ht="14.45" x14ac:dyDescent="0.3">
      <c r="A92" s="28" t="s">
        <v>21</v>
      </c>
      <c r="B92" s="28">
        <v>2018</v>
      </c>
      <c r="C92" s="28">
        <v>1</v>
      </c>
      <c r="D92" s="28" t="s">
        <v>25</v>
      </c>
      <c r="E92" s="28">
        <v>40810302</v>
      </c>
      <c r="F92" s="112">
        <v>43131</v>
      </c>
      <c r="G92" s="113">
        <v>-2645086.54</v>
      </c>
      <c r="H92" s="60"/>
      <c r="I92" s="63">
        <f t="shared" si="15"/>
        <v>-2645086.54</v>
      </c>
      <c r="J92" s="60"/>
      <c r="K92" s="59"/>
      <c r="L92" s="66">
        <f t="shared" si="16"/>
        <v>0</v>
      </c>
      <c r="M92" s="67">
        <f t="shared" si="17"/>
        <v>-2645086.54</v>
      </c>
      <c r="N92" s="80"/>
    </row>
    <row r="93" spans="1:14" ht="14.45" x14ac:dyDescent="0.3">
      <c r="A93" s="28" t="s">
        <v>21</v>
      </c>
      <c r="B93" s="28">
        <v>2018</v>
      </c>
      <c r="C93" s="28">
        <v>1</v>
      </c>
      <c r="D93" s="28" t="s">
        <v>25</v>
      </c>
      <c r="E93" s="28">
        <v>40810302</v>
      </c>
      <c r="F93" s="112">
        <v>43131</v>
      </c>
      <c r="G93" s="113">
        <v>2287143.2799999998</v>
      </c>
      <c r="H93" s="60"/>
      <c r="I93" s="63">
        <f t="shared" si="15"/>
        <v>2287143.2799999998</v>
      </c>
      <c r="J93" s="60"/>
      <c r="K93" s="59"/>
      <c r="L93" s="66">
        <f t="shared" si="16"/>
        <v>0</v>
      </c>
      <c r="M93" s="67">
        <f t="shared" si="17"/>
        <v>2287143.2799999998</v>
      </c>
      <c r="N93" s="80"/>
    </row>
    <row r="94" spans="1:14" ht="14.45" x14ac:dyDescent="0.3">
      <c r="A94" s="28" t="s">
        <v>21</v>
      </c>
      <c r="B94" s="28">
        <v>2018</v>
      </c>
      <c r="C94" s="28">
        <v>2</v>
      </c>
      <c r="D94" s="28" t="s">
        <v>25</v>
      </c>
      <c r="E94" s="28">
        <v>40810302</v>
      </c>
      <c r="F94" s="112">
        <v>43153</v>
      </c>
      <c r="G94" s="113">
        <v>-2287143.2799999998</v>
      </c>
      <c r="H94" s="60"/>
      <c r="I94" s="63">
        <f t="shared" si="15"/>
        <v>-2287143.2799999998</v>
      </c>
      <c r="J94" s="60"/>
      <c r="K94" s="59"/>
      <c r="L94" s="66">
        <f t="shared" si="16"/>
        <v>0</v>
      </c>
      <c r="M94" s="67">
        <f t="shared" si="17"/>
        <v>-2287143.2799999998</v>
      </c>
      <c r="N94" s="80"/>
    </row>
    <row r="95" spans="1:14" ht="14.45" x14ac:dyDescent="0.3">
      <c r="A95" s="28" t="s">
        <v>21</v>
      </c>
      <c r="B95" s="28">
        <v>2018</v>
      </c>
      <c r="C95" s="28">
        <v>2</v>
      </c>
      <c r="D95" s="28" t="s">
        <v>25</v>
      </c>
      <c r="E95" s="28">
        <v>40810302</v>
      </c>
      <c r="F95" s="112">
        <v>43159</v>
      </c>
      <c r="G95" s="113">
        <v>2376969.04</v>
      </c>
      <c r="H95" s="60"/>
      <c r="I95" s="63">
        <f t="shared" si="15"/>
        <v>2376969.04</v>
      </c>
      <c r="J95" s="60"/>
      <c r="K95" s="59"/>
      <c r="L95" s="66">
        <f t="shared" si="16"/>
        <v>0</v>
      </c>
      <c r="M95" s="67">
        <f t="shared" si="17"/>
        <v>2376969.04</v>
      </c>
      <c r="N95" s="80"/>
    </row>
    <row r="96" spans="1:14" ht="14.45" x14ac:dyDescent="0.3">
      <c r="A96" s="28" t="s">
        <v>21</v>
      </c>
      <c r="B96" s="28">
        <v>2018</v>
      </c>
      <c r="C96" s="28">
        <v>3</v>
      </c>
      <c r="D96" s="28" t="s">
        <v>25</v>
      </c>
      <c r="E96" s="28">
        <v>40810302</v>
      </c>
      <c r="F96" s="112">
        <v>43179</v>
      </c>
      <c r="G96" s="113">
        <v>-2376969.04</v>
      </c>
      <c r="H96" s="60"/>
      <c r="I96" s="63">
        <f t="shared" si="15"/>
        <v>-2376969.04</v>
      </c>
      <c r="J96" s="60"/>
      <c r="K96" s="59"/>
      <c r="L96" s="66">
        <f t="shared" si="16"/>
        <v>0</v>
      </c>
      <c r="M96" s="67">
        <f t="shared" si="17"/>
        <v>-2376969.04</v>
      </c>
      <c r="N96" s="80"/>
    </row>
    <row r="97" spans="1:14" ht="14.45" x14ac:dyDescent="0.3">
      <c r="A97" s="28" t="s">
        <v>21</v>
      </c>
      <c r="B97" s="28">
        <v>2018</v>
      </c>
      <c r="C97" s="28">
        <v>3</v>
      </c>
      <c r="D97" s="28" t="s">
        <v>25</v>
      </c>
      <c r="E97" s="28">
        <v>40810302</v>
      </c>
      <c r="F97" s="112">
        <v>43190</v>
      </c>
      <c r="G97" s="113">
        <v>1918737.24</v>
      </c>
      <c r="H97" s="60"/>
      <c r="I97" s="63">
        <f t="shared" si="15"/>
        <v>1918737.24</v>
      </c>
      <c r="J97" s="60"/>
      <c r="K97" s="59"/>
      <c r="L97" s="66">
        <f t="shared" si="16"/>
        <v>0</v>
      </c>
      <c r="M97" s="67">
        <f t="shared" si="17"/>
        <v>1918737.24</v>
      </c>
      <c r="N97" s="80"/>
    </row>
    <row r="98" spans="1:14" ht="14.45" x14ac:dyDescent="0.3">
      <c r="A98" s="28" t="s">
        <v>21</v>
      </c>
      <c r="B98" s="28">
        <v>2018</v>
      </c>
      <c r="C98" s="28">
        <v>4</v>
      </c>
      <c r="D98" s="28" t="s">
        <v>25</v>
      </c>
      <c r="E98" s="28">
        <v>40810302</v>
      </c>
      <c r="F98" s="112">
        <v>43203</v>
      </c>
      <c r="G98" s="113">
        <v>-1918737.24</v>
      </c>
      <c r="H98" s="60"/>
      <c r="I98" s="63">
        <f t="shared" si="15"/>
        <v>-1918737.24</v>
      </c>
      <c r="J98" s="60"/>
      <c r="K98" s="59"/>
      <c r="L98" s="66">
        <f t="shared" si="16"/>
        <v>0</v>
      </c>
      <c r="M98" s="67">
        <f t="shared" si="17"/>
        <v>-1918737.24</v>
      </c>
      <c r="N98" s="80"/>
    </row>
    <row r="99" spans="1:14" ht="14.45" x14ac:dyDescent="0.3">
      <c r="A99" s="28" t="s">
        <v>21</v>
      </c>
      <c r="B99" s="28">
        <v>2018</v>
      </c>
      <c r="C99" s="28">
        <v>4</v>
      </c>
      <c r="D99" s="28" t="s">
        <v>25</v>
      </c>
      <c r="E99" s="28">
        <v>40810302</v>
      </c>
      <c r="F99" s="112">
        <v>43220</v>
      </c>
      <c r="G99" s="113">
        <v>1457043.7</v>
      </c>
      <c r="H99" s="60"/>
      <c r="I99" s="63">
        <f t="shared" si="15"/>
        <v>1457043.7</v>
      </c>
      <c r="J99" s="60"/>
      <c r="K99" s="59"/>
      <c r="L99" s="66">
        <f t="shared" si="16"/>
        <v>0</v>
      </c>
      <c r="M99" s="67">
        <f t="shared" si="17"/>
        <v>1457043.7</v>
      </c>
      <c r="N99" s="80"/>
    </row>
    <row r="100" spans="1:14" ht="14.45" x14ac:dyDescent="0.3">
      <c r="A100" s="28" t="s">
        <v>21</v>
      </c>
      <c r="B100" s="28">
        <v>2018</v>
      </c>
      <c r="C100" s="28">
        <v>5</v>
      </c>
      <c r="D100" s="28" t="s">
        <v>25</v>
      </c>
      <c r="E100" s="28">
        <v>40810302</v>
      </c>
      <c r="F100" s="112">
        <v>43231</v>
      </c>
      <c r="G100" s="113">
        <v>-1457043.7</v>
      </c>
      <c r="H100" s="60"/>
      <c r="I100" s="63">
        <f t="shared" si="15"/>
        <v>-1457043.7</v>
      </c>
      <c r="J100" s="60"/>
      <c r="K100" s="59"/>
      <c r="L100" s="66">
        <f t="shared" si="16"/>
        <v>0</v>
      </c>
      <c r="M100" s="67">
        <f t="shared" si="17"/>
        <v>-1457043.7</v>
      </c>
      <c r="N100" s="80"/>
    </row>
    <row r="101" spans="1:14" ht="14.45" x14ac:dyDescent="0.3">
      <c r="A101" s="28" t="s">
        <v>21</v>
      </c>
      <c r="B101" s="28">
        <v>2018</v>
      </c>
      <c r="C101" s="28">
        <v>5</v>
      </c>
      <c r="D101" s="28" t="s">
        <v>25</v>
      </c>
      <c r="E101" s="28">
        <v>40810302</v>
      </c>
      <c r="F101" s="112">
        <v>43251</v>
      </c>
      <c r="G101" s="113">
        <v>972205.18</v>
      </c>
      <c r="H101" s="60"/>
      <c r="I101" s="63">
        <f t="shared" si="15"/>
        <v>972205.18</v>
      </c>
      <c r="J101" s="60"/>
      <c r="K101" s="59"/>
      <c r="L101" s="66">
        <f t="shared" si="16"/>
        <v>0</v>
      </c>
      <c r="M101" s="67">
        <f t="shared" si="17"/>
        <v>972205.18</v>
      </c>
      <c r="N101" s="80"/>
    </row>
    <row r="102" spans="1:14" ht="14.45" x14ac:dyDescent="0.3">
      <c r="A102" s="28" t="s">
        <v>21</v>
      </c>
      <c r="B102" s="28">
        <v>2018</v>
      </c>
      <c r="C102" s="28">
        <v>6</v>
      </c>
      <c r="D102" s="28" t="s">
        <v>25</v>
      </c>
      <c r="E102" s="28">
        <v>40810302</v>
      </c>
      <c r="F102" s="112">
        <v>43270</v>
      </c>
      <c r="G102" s="113">
        <v>-972205.18</v>
      </c>
      <c r="H102" s="60"/>
      <c r="I102" s="63">
        <f t="shared" si="15"/>
        <v>-972205.18</v>
      </c>
      <c r="J102" s="60"/>
      <c r="K102" s="59"/>
      <c r="L102" s="66">
        <f t="shared" si="16"/>
        <v>0</v>
      </c>
      <c r="M102" s="67">
        <f t="shared" si="17"/>
        <v>-972205.18</v>
      </c>
      <c r="N102" s="80"/>
    </row>
    <row r="103" spans="1:14" ht="14.45" x14ac:dyDescent="0.3">
      <c r="A103" s="28" t="s">
        <v>21</v>
      </c>
      <c r="B103" s="28">
        <v>2018</v>
      </c>
      <c r="C103" s="28">
        <v>6</v>
      </c>
      <c r="D103" s="28" t="s">
        <v>25</v>
      </c>
      <c r="E103" s="28">
        <v>40810302</v>
      </c>
      <c r="F103" s="112">
        <v>43281</v>
      </c>
      <c r="G103" s="113">
        <v>964205.7</v>
      </c>
      <c r="H103" s="60"/>
      <c r="I103" s="63">
        <f t="shared" si="15"/>
        <v>964205.7</v>
      </c>
      <c r="J103" s="60"/>
      <c r="K103" s="59"/>
      <c r="L103" s="66">
        <f t="shared" si="16"/>
        <v>0</v>
      </c>
      <c r="M103" s="67">
        <f t="shared" si="17"/>
        <v>964205.7</v>
      </c>
      <c r="N103" s="80"/>
    </row>
    <row r="104" spans="1:14" ht="14.45" x14ac:dyDescent="0.3">
      <c r="A104" s="28" t="s">
        <v>21</v>
      </c>
      <c r="B104" s="28">
        <v>2018</v>
      </c>
      <c r="C104" s="28">
        <v>4</v>
      </c>
      <c r="D104" s="28" t="s">
        <v>135</v>
      </c>
      <c r="E104" s="28">
        <v>40810302</v>
      </c>
      <c r="F104" s="112">
        <v>43220</v>
      </c>
      <c r="G104" s="113">
        <v>260.64</v>
      </c>
      <c r="H104" s="60"/>
      <c r="I104" s="63">
        <f t="shared" si="15"/>
        <v>260.64</v>
      </c>
      <c r="J104" s="60"/>
      <c r="K104" s="59"/>
      <c r="L104" s="66"/>
      <c r="M104" s="67"/>
      <c r="N104" s="80"/>
    </row>
    <row r="105" spans="1:14" ht="14.45" x14ac:dyDescent="0.3">
      <c r="A105" s="28" t="s">
        <v>21</v>
      </c>
      <c r="B105" s="28">
        <v>2018</v>
      </c>
      <c r="C105" s="28">
        <v>5</v>
      </c>
      <c r="D105" s="28" t="s">
        <v>135</v>
      </c>
      <c r="E105" s="28">
        <v>40810302</v>
      </c>
      <c r="F105" s="112">
        <v>43251</v>
      </c>
      <c r="G105" s="113">
        <v>137.6</v>
      </c>
      <c r="H105" s="60"/>
      <c r="I105" s="63">
        <f t="shared" si="15"/>
        <v>137.6</v>
      </c>
      <c r="J105" s="60"/>
      <c r="K105" s="59"/>
      <c r="L105" s="66"/>
      <c r="M105" s="67"/>
      <c r="N105" s="80"/>
    </row>
    <row r="106" spans="1:14" ht="14.45" x14ac:dyDescent="0.3">
      <c r="A106" s="28" t="s">
        <v>21</v>
      </c>
      <c r="B106" s="28">
        <v>2018</v>
      </c>
      <c r="C106" s="28">
        <v>6</v>
      </c>
      <c r="D106" s="28" t="s">
        <v>135</v>
      </c>
      <c r="E106" s="28">
        <v>40810302</v>
      </c>
      <c r="F106" s="112">
        <v>43281</v>
      </c>
      <c r="G106" s="113">
        <v>96.45</v>
      </c>
      <c r="H106" s="60"/>
      <c r="I106" s="63">
        <f t="shared" si="15"/>
        <v>96.45</v>
      </c>
      <c r="J106" s="60"/>
      <c r="K106" s="59"/>
      <c r="L106" s="66"/>
      <c r="M106" s="67"/>
      <c r="N106" s="80"/>
    </row>
    <row r="107" spans="1:14" ht="14.45" x14ac:dyDescent="0.3">
      <c r="A107" s="28"/>
      <c r="B107" s="143">
        <f>+'True-up prior period'!B7</f>
        <v>2018</v>
      </c>
      <c r="C107" s="143">
        <f>+'True-up prior period'!C7</f>
        <v>7</v>
      </c>
      <c r="D107" s="143" t="str">
        <f>+'True-up prior period'!D7</f>
        <v>Accrue Utility Tax on Unbilled Gas Revenue</v>
      </c>
      <c r="E107" s="143">
        <f>+'True-up prior period'!E7</f>
        <v>40810302</v>
      </c>
      <c r="F107" s="144">
        <f>+'True-up prior period'!F7</f>
        <v>43312</v>
      </c>
      <c r="G107" s="150"/>
      <c r="H107" s="151"/>
      <c r="I107" s="152"/>
      <c r="J107" s="151"/>
      <c r="K107" s="153">
        <f>+'True-up prior period'!G6</f>
        <v>-96.45</v>
      </c>
      <c r="L107" s="154"/>
      <c r="M107" s="155">
        <f t="shared" si="17"/>
        <v>-96.45</v>
      </c>
      <c r="N107" s="81">
        <v>2</v>
      </c>
    </row>
    <row r="108" spans="1:14" ht="14.45" x14ac:dyDescent="0.3">
      <c r="A108" s="44" t="s">
        <v>15</v>
      </c>
      <c r="B108" s="44" t="s">
        <v>15</v>
      </c>
      <c r="C108" s="44" t="s">
        <v>15</v>
      </c>
      <c r="D108" s="44" t="s">
        <v>15</v>
      </c>
      <c r="E108" s="44" t="s">
        <v>15</v>
      </c>
      <c r="F108" s="110"/>
      <c r="G108" s="111">
        <f t="shared" ref="G108:M108" si="18">SUM(G57:G107)</f>
        <v>36149803.100000009</v>
      </c>
      <c r="H108" s="111">
        <f t="shared" si="18"/>
        <v>0</v>
      </c>
      <c r="I108" s="111">
        <f t="shared" si="18"/>
        <v>36149803.100000009</v>
      </c>
      <c r="J108" s="111">
        <f t="shared" si="18"/>
        <v>0</v>
      </c>
      <c r="K108" s="111">
        <f t="shared" si="18"/>
        <v>689.13</v>
      </c>
      <c r="L108" s="111">
        <f t="shared" si="18"/>
        <v>0</v>
      </c>
      <c r="M108" s="111">
        <f t="shared" si="18"/>
        <v>36150395.780000001</v>
      </c>
      <c r="N108" s="80"/>
    </row>
    <row r="109" spans="1:14" ht="14.45" x14ac:dyDescent="0.3">
      <c r="A109" s="52" t="s">
        <v>40</v>
      </c>
      <c r="C109" s="32"/>
      <c r="D109" s="32"/>
      <c r="E109" s="32"/>
      <c r="F109" s="33"/>
      <c r="G109" s="32"/>
      <c r="H109" s="62"/>
      <c r="I109" s="61"/>
      <c r="J109" s="62"/>
      <c r="K109" s="59"/>
      <c r="L109" s="60"/>
      <c r="M109" s="59"/>
      <c r="N109" s="80"/>
    </row>
    <row r="110" spans="1:14" ht="14.45" x14ac:dyDescent="0.3">
      <c r="A110" s="34" t="s">
        <v>28</v>
      </c>
      <c r="B110" s="34">
        <v>2017</v>
      </c>
      <c r="C110" s="34">
        <v>7</v>
      </c>
      <c r="D110" s="34" t="s">
        <v>29</v>
      </c>
      <c r="E110" s="34">
        <v>40810602</v>
      </c>
      <c r="F110" s="50">
        <v>42947</v>
      </c>
      <c r="G110" s="51">
        <v>0.01</v>
      </c>
      <c r="H110" s="64">
        <f t="shared" ref="H110:H122" si="19">+G110*H$3</f>
        <v>6.5449999999999996E-3</v>
      </c>
      <c r="I110" s="65">
        <f t="shared" ref="I110:I122" si="20">+G110*I$3</f>
        <v>3.4549999999999997E-3</v>
      </c>
      <c r="J110" s="58">
        <f>-H110</f>
        <v>-6.5449999999999996E-3</v>
      </c>
      <c r="K110" s="69">
        <f>-I110</f>
        <v>-3.4549999999999997E-3</v>
      </c>
      <c r="L110" s="66">
        <f t="shared" ref="L110:L121" si="21">+H110+J110</f>
        <v>0</v>
      </c>
      <c r="M110" s="67">
        <f t="shared" ref="M110:M121" si="22">+I110+K110</f>
        <v>0</v>
      </c>
      <c r="N110" s="80"/>
    </row>
    <row r="111" spans="1:14" ht="14.45" x14ac:dyDescent="0.3">
      <c r="A111" s="34" t="s">
        <v>28</v>
      </c>
      <c r="B111" s="34">
        <v>2017</v>
      </c>
      <c r="C111" s="34">
        <v>8</v>
      </c>
      <c r="D111" s="34" t="s">
        <v>29</v>
      </c>
      <c r="E111" s="34">
        <v>40810602</v>
      </c>
      <c r="F111" s="50">
        <v>42978</v>
      </c>
      <c r="G111" s="51">
        <v>36.44</v>
      </c>
      <c r="H111" s="64">
        <f t="shared" si="19"/>
        <v>23.849979999999999</v>
      </c>
      <c r="I111" s="65">
        <f t="shared" si="20"/>
        <v>12.590019999999999</v>
      </c>
      <c r="J111" s="60"/>
      <c r="K111" s="59"/>
      <c r="L111" s="66">
        <f t="shared" si="21"/>
        <v>23.849979999999999</v>
      </c>
      <c r="M111" s="67">
        <f t="shared" si="22"/>
        <v>12.590019999999999</v>
      </c>
      <c r="N111" s="80"/>
    </row>
    <row r="112" spans="1:14" ht="14.45" x14ac:dyDescent="0.3">
      <c r="A112" s="34" t="s">
        <v>28</v>
      </c>
      <c r="B112" s="34">
        <v>2017</v>
      </c>
      <c r="C112" s="34">
        <v>9</v>
      </c>
      <c r="D112" s="34" t="s">
        <v>29</v>
      </c>
      <c r="E112" s="34">
        <v>40810602</v>
      </c>
      <c r="F112" s="50">
        <v>43008</v>
      </c>
      <c r="G112" s="51">
        <v>29.77</v>
      </c>
      <c r="H112" s="64">
        <f t="shared" si="19"/>
        <v>19.484465</v>
      </c>
      <c r="I112" s="65">
        <f t="shared" si="20"/>
        <v>10.285534999999999</v>
      </c>
      <c r="J112" s="58"/>
      <c r="K112" s="69"/>
      <c r="L112" s="66">
        <f t="shared" si="21"/>
        <v>19.484465</v>
      </c>
      <c r="M112" s="67">
        <f t="shared" si="22"/>
        <v>10.285534999999999</v>
      </c>
      <c r="N112" s="80"/>
    </row>
    <row r="113" spans="1:14" ht="14.45" x14ac:dyDescent="0.3">
      <c r="A113" s="34" t="s">
        <v>28</v>
      </c>
      <c r="B113" s="34">
        <v>2017</v>
      </c>
      <c r="C113" s="34">
        <v>10</v>
      </c>
      <c r="D113" s="34" t="s">
        <v>29</v>
      </c>
      <c r="E113" s="34">
        <v>40810602</v>
      </c>
      <c r="F113" s="50">
        <v>43039</v>
      </c>
      <c r="G113" s="51">
        <v>28.82</v>
      </c>
      <c r="H113" s="64">
        <f t="shared" si="19"/>
        <v>18.862690000000001</v>
      </c>
      <c r="I113" s="65">
        <f t="shared" si="20"/>
        <v>9.9573099999999997</v>
      </c>
      <c r="J113" s="60"/>
      <c r="K113" s="59"/>
      <c r="L113" s="66">
        <f t="shared" si="21"/>
        <v>18.862690000000001</v>
      </c>
      <c r="M113" s="67">
        <f t="shared" si="22"/>
        <v>9.9573099999999997</v>
      </c>
      <c r="N113" s="80"/>
    </row>
    <row r="114" spans="1:14" ht="14.45" x14ac:dyDescent="0.3">
      <c r="A114" s="34" t="s">
        <v>28</v>
      </c>
      <c r="B114" s="34">
        <v>2017</v>
      </c>
      <c r="C114" s="34">
        <v>11</v>
      </c>
      <c r="D114" s="34" t="s">
        <v>29</v>
      </c>
      <c r="E114" s="34">
        <v>40810602</v>
      </c>
      <c r="F114" s="50">
        <v>43069</v>
      </c>
      <c r="G114" s="51">
        <v>0.12</v>
      </c>
      <c r="H114" s="64">
        <f t="shared" si="19"/>
        <v>7.8539999999999999E-2</v>
      </c>
      <c r="I114" s="65">
        <f t="shared" si="20"/>
        <v>4.1459999999999997E-2</v>
      </c>
      <c r="J114" s="60"/>
      <c r="K114" s="59"/>
      <c r="L114" s="66">
        <f t="shared" si="21"/>
        <v>7.8539999999999999E-2</v>
      </c>
      <c r="M114" s="67">
        <f t="shared" si="22"/>
        <v>4.1459999999999997E-2</v>
      </c>
      <c r="N114" s="80"/>
    </row>
    <row r="115" spans="1:14" ht="14.45" x14ac:dyDescent="0.3">
      <c r="A115" s="34" t="s">
        <v>28</v>
      </c>
      <c r="B115" s="34">
        <v>2017</v>
      </c>
      <c r="C115" s="34">
        <v>12</v>
      </c>
      <c r="D115" s="34" t="s">
        <v>29</v>
      </c>
      <c r="E115" s="34">
        <v>40810602</v>
      </c>
      <c r="F115" s="50">
        <v>43100</v>
      </c>
      <c r="G115" s="51">
        <v>0.48</v>
      </c>
      <c r="H115" s="64">
        <f t="shared" si="19"/>
        <v>0.31415999999999999</v>
      </c>
      <c r="I115" s="65">
        <f t="shared" si="20"/>
        <v>0.16583999999999999</v>
      </c>
      <c r="J115" s="60"/>
      <c r="K115" s="59"/>
      <c r="L115" s="66">
        <f t="shared" si="21"/>
        <v>0.31415999999999999</v>
      </c>
      <c r="M115" s="67">
        <f t="shared" si="22"/>
        <v>0.16583999999999999</v>
      </c>
      <c r="N115" s="80"/>
    </row>
    <row r="116" spans="1:14" ht="14.45" x14ac:dyDescent="0.3">
      <c r="A116" s="34" t="s">
        <v>28</v>
      </c>
      <c r="B116" s="34">
        <v>2018</v>
      </c>
      <c r="C116" s="34">
        <v>1</v>
      </c>
      <c r="D116" s="34" t="s">
        <v>29</v>
      </c>
      <c r="E116" s="34">
        <v>40810602</v>
      </c>
      <c r="F116" s="50">
        <v>43131</v>
      </c>
      <c r="G116" s="51">
        <v>-4585.78</v>
      </c>
      <c r="H116" s="64">
        <f t="shared" si="19"/>
        <v>-3001.3930099999998</v>
      </c>
      <c r="I116" s="65">
        <f t="shared" si="20"/>
        <v>-1584.3869899999997</v>
      </c>
      <c r="J116" s="60"/>
      <c r="K116" s="59"/>
      <c r="L116" s="66">
        <f t="shared" si="21"/>
        <v>-3001.3930099999998</v>
      </c>
      <c r="M116" s="67">
        <f t="shared" si="22"/>
        <v>-1584.3869899999997</v>
      </c>
      <c r="N116" s="80"/>
    </row>
    <row r="117" spans="1:14" ht="14.45" x14ac:dyDescent="0.3">
      <c r="A117" s="34" t="s">
        <v>28</v>
      </c>
      <c r="B117" s="34">
        <v>2018</v>
      </c>
      <c r="C117" s="34">
        <v>2</v>
      </c>
      <c r="D117" s="34" t="s">
        <v>29</v>
      </c>
      <c r="E117" s="34">
        <v>40810602</v>
      </c>
      <c r="F117" s="50">
        <v>43159</v>
      </c>
      <c r="G117" s="51">
        <v>-0.01</v>
      </c>
      <c r="H117" s="64">
        <f t="shared" si="19"/>
        <v>-6.5449999999999996E-3</v>
      </c>
      <c r="I117" s="65">
        <f t="shared" si="20"/>
        <v>-3.4549999999999997E-3</v>
      </c>
      <c r="J117" s="60"/>
      <c r="K117" s="59"/>
      <c r="L117" s="66">
        <f t="shared" si="21"/>
        <v>-6.5449999999999996E-3</v>
      </c>
      <c r="M117" s="67">
        <f t="shared" si="22"/>
        <v>-3.4549999999999997E-3</v>
      </c>
      <c r="N117" s="80"/>
    </row>
    <row r="118" spans="1:14" ht="14.45" x14ac:dyDescent="0.3">
      <c r="A118" s="34" t="s">
        <v>28</v>
      </c>
      <c r="B118" s="34">
        <v>2018</v>
      </c>
      <c r="C118" s="34">
        <v>3</v>
      </c>
      <c r="D118" s="34" t="s">
        <v>29</v>
      </c>
      <c r="E118" s="34">
        <v>40810602</v>
      </c>
      <c r="F118" s="50">
        <v>43190</v>
      </c>
      <c r="G118" s="51">
        <v>-0.01</v>
      </c>
      <c r="H118" s="64">
        <f t="shared" si="19"/>
        <v>-6.5449999999999996E-3</v>
      </c>
      <c r="I118" s="65">
        <f t="shared" si="20"/>
        <v>-3.4549999999999997E-3</v>
      </c>
      <c r="J118" s="60"/>
      <c r="K118" s="59"/>
      <c r="L118" s="66">
        <f t="shared" si="21"/>
        <v>-6.5449999999999996E-3</v>
      </c>
      <c r="M118" s="67">
        <f t="shared" si="22"/>
        <v>-3.4549999999999997E-3</v>
      </c>
      <c r="N118" s="80"/>
    </row>
    <row r="119" spans="1:14" ht="14.45" x14ac:dyDescent="0.3">
      <c r="A119" s="34" t="s">
        <v>28</v>
      </c>
      <c r="B119" s="34">
        <v>2018</v>
      </c>
      <c r="C119" s="34">
        <v>4</v>
      </c>
      <c r="D119" s="34" t="s">
        <v>29</v>
      </c>
      <c r="E119" s="34">
        <v>40810602</v>
      </c>
      <c r="F119" s="50">
        <v>43220</v>
      </c>
      <c r="G119" s="51">
        <v>9.7200000000000006</v>
      </c>
      <c r="H119" s="64">
        <f t="shared" si="19"/>
        <v>6.3617400000000002</v>
      </c>
      <c r="I119" s="65">
        <f t="shared" si="20"/>
        <v>3.35826</v>
      </c>
      <c r="J119" s="60"/>
      <c r="K119" s="59"/>
      <c r="L119" s="66">
        <f t="shared" si="21"/>
        <v>6.3617400000000002</v>
      </c>
      <c r="M119" s="67">
        <f t="shared" si="22"/>
        <v>3.35826</v>
      </c>
      <c r="N119" s="80"/>
    </row>
    <row r="120" spans="1:14" ht="14.45" x14ac:dyDescent="0.3">
      <c r="A120" s="34" t="s">
        <v>28</v>
      </c>
      <c r="B120" s="34">
        <v>2018</v>
      </c>
      <c r="C120" s="34">
        <v>5</v>
      </c>
      <c r="D120" s="34" t="s">
        <v>29</v>
      </c>
      <c r="E120" s="34">
        <v>40810602</v>
      </c>
      <c r="F120" s="50">
        <v>43251</v>
      </c>
      <c r="G120" s="51">
        <v>2.84</v>
      </c>
      <c r="H120" s="64">
        <f t="shared" si="19"/>
        <v>1.8587799999999999</v>
      </c>
      <c r="I120" s="65">
        <f t="shared" si="20"/>
        <v>0.98121999999999987</v>
      </c>
      <c r="J120" s="60"/>
      <c r="K120" s="59"/>
      <c r="L120" s="66">
        <f t="shared" si="21"/>
        <v>1.8587799999999999</v>
      </c>
      <c r="M120" s="67">
        <f t="shared" si="22"/>
        <v>0.98121999999999987</v>
      </c>
      <c r="N120" s="80"/>
    </row>
    <row r="121" spans="1:14" ht="14.45" x14ac:dyDescent="0.3">
      <c r="A121" s="34" t="s">
        <v>28</v>
      </c>
      <c r="B121" s="34">
        <v>2018</v>
      </c>
      <c r="C121" s="34">
        <v>6</v>
      </c>
      <c r="D121" s="34" t="s">
        <v>29</v>
      </c>
      <c r="E121" s="34">
        <v>40810602</v>
      </c>
      <c r="F121" s="50">
        <v>43281</v>
      </c>
      <c r="G121" s="51">
        <v>7</v>
      </c>
      <c r="H121" s="64">
        <f t="shared" si="19"/>
        <v>4.5815000000000001</v>
      </c>
      <c r="I121" s="65">
        <f t="shared" si="20"/>
        <v>2.4184999999999999</v>
      </c>
      <c r="J121" s="60"/>
      <c r="K121" s="59"/>
      <c r="L121" s="66">
        <f t="shared" si="21"/>
        <v>4.5815000000000001</v>
      </c>
      <c r="M121" s="67">
        <f t="shared" si="22"/>
        <v>2.4184999999999999</v>
      </c>
      <c r="N121" s="80"/>
    </row>
    <row r="122" spans="1:14" ht="14.45" x14ac:dyDescent="0.3">
      <c r="A122" s="34" t="s">
        <v>28</v>
      </c>
      <c r="B122" s="34">
        <v>2017</v>
      </c>
      <c r="C122" s="34">
        <v>9</v>
      </c>
      <c r="D122" s="34" t="s">
        <v>30</v>
      </c>
      <c r="E122" s="34">
        <v>40810602</v>
      </c>
      <c r="F122" s="50">
        <v>43008</v>
      </c>
      <c r="G122" s="51">
        <v>4000</v>
      </c>
      <c r="H122" s="64">
        <f t="shared" si="19"/>
        <v>2618</v>
      </c>
      <c r="I122" s="65">
        <f t="shared" si="20"/>
        <v>1382</v>
      </c>
      <c r="J122" s="68"/>
      <c r="K122" s="69"/>
      <c r="L122" s="66">
        <f t="shared" ref="L122" si="23">+H122+J122</f>
        <v>2618</v>
      </c>
      <c r="M122" s="67">
        <f t="shared" ref="M122" si="24">+I122+K122</f>
        <v>1382</v>
      </c>
      <c r="N122" s="81"/>
    </row>
    <row r="123" spans="1:14" ht="14.45" x14ac:dyDescent="0.3">
      <c r="A123" s="34" t="s">
        <v>28</v>
      </c>
      <c r="B123" s="34">
        <v>2017</v>
      </c>
      <c r="C123" s="34">
        <v>10</v>
      </c>
      <c r="D123" s="34" t="s">
        <v>30</v>
      </c>
      <c r="E123" s="34">
        <v>40810602</v>
      </c>
      <c r="F123" s="50">
        <v>43039</v>
      </c>
      <c r="G123" s="51">
        <v>4000</v>
      </c>
      <c r="H123" s="64">
        <f t="shared" ref="H123:H141" si="25">+G123*H$3</f>
        <v>2618</v>
      </c>
      <c r="I123" s="65">
        <f t="shared" ref="I123:I141" si="26">+G123*I$3</f>
        <v>1382</v>
      </c>
      <c r="J123" s="68"/>
      <c r="K123" s="69"/>
      <c r="L123" s="66">
        <f t="shared" ref="L123:L141" si="27">+H123+J123</f>
        <v>2618</v>
      </c>
      <c r="M123" s="67">
        <f t="shared" ref="M123:M141" si="28">+I123+K123</f>
        <v>1382</v>
      </c>
      <c r="N123" s="81"/>
    </row>
    <row r="124" spans="1:14" ht="14.45" x14ac:dyDescent="0.3">
      <c r="A124" s="34" t="s">
        <v>28</v>
      </c>
      <c r="B124" s="34">
        <v>2017</v>
      </c>
      <c r="C124" s="34">
        <v>11</v>
      </c>
      <c r="D124" s="34" t="s">
        <v>30</v>
      </c>
      <c r="E124" s="34">
        <v>40810602</v>
      </c>
      <c r="F124" s="50">
        <v>43069</v>
      </c>
      <c r="G124" s="51">
        <v>1500</v>
      </c>
      <c r="H124" s="64">
        <f t="shared" si="25"/>
        <v>981.75</v>
      </c>
      <c r="I124" s="65">
        <f t="shared" si="26"/>
        <v>518.25</v>
      </c>
      <c r="J124" s="60"/>
      <c r="K124" s="59"/>
      <c r="L124" s="66">
        <f t="shared" si="27"/>
        <v>981.75</v>
      </c>
      <c r="M124" s="67">
        <f t="shared" si="28"/>
        <v>518.25</v>
      </c>
      <c r="N124" s="80"/>
    </row>
    <row r="125" spans="1:14" ht="14.45" x14ac:dyDescent="0.3">
      <c r="A125" s="34" t="s">
        <v>28</v>
      </c>
      <c r="B125" s="34">
        <v>2017</v>
      </c>
      <c r="C125" s="34">
        <v>12</v>
      </c>
      <c r="D125" s="34" t="s">
        <v>30</v>
      </c>
      <c r="E125" s="34">
        <v>40810602</v>
      </c>
      <c r="F125" s="50">
        <v>43100</v>
      </c>
      <c r="G125" s="51">
        <v>40000</v>
      </c>
      <c r="H125" s="64">
        <f t="shared" si="25"/>
        <v>26180</v>
      </c>
      <c r="I125" s="65">
        <f t="shared" si="26"/>
        <v>13819.999999999998</v>
      </c>
      <c r="J125" s="60"/>
      <c r="K125" s="59"/>
      <c r="L125" s="66">
        <f t="shared" si="27"/>
        <v>26180</v>
      </c>
      <c r="M125" s="67">
        <f t="shared" si="28"/>
        <v>13819.999999999998</v>
      </c>
      <c r="N125" s="80"/>
    </row>
    <row r="126" spans="1:14" ht="14.45" x14ac:dyDescent="0.3">
      <c r="A126" s="34" t="s">
        <v>28</v>
      </c>
      <c r="B126" s="34">
        <v>2018</v>
      </c>
      <c r="C126" s="34">
        <v>2</v>
      </c>
      <c r="D126" s="34" t="s">
        <v>30</v>
      </c>
      <c r="E126" s="34">
        <v>40810602</v>
      </c>
      <c r="F126" s="50">
        <v>43159</v>
      </c>
      <c r="G126" s="51">
        <v>5000</v>
      </c>
      <c r="H126" s="64">
        <f t="shared" si="25"/>
        <v>3272.5</v>
      </c>
      <c r="I126" s="65">
        <f t="shared" si="26"/>
        <v>1727.4999999999998</v>
      </c>
      <c r="J126" s="60"/>
      <c r="K126" s="59"/>
      <c r="L126" s="66">
        <f t="shared" si="27"/>
        <v>3272.5</v>
      </c>
      <c r="M126" s="67">
        <f t="shared" si="28"/>
        <v>1727.4999999999998</v>
      </c>
      <c r="N126" s="80"/>
    </row>
    <row r="127" spans="1:14" ht="14.45" x14ac:dyDescent="0.3">
      <c r="A127" s="34" t="s">
        <v>28</v>
      </c>
      <c r="B127" s="34">
        <v>2018</v>
      </c>
      <c r="C127" s="34">
        <v>3</v>
      </c>
      <c r="D127" s="34" t="s">
        <v>30</v>
      </c>
      <c r="E127" s="34">
        <v>40810602</v>
      </c>
      <c r="F127" s="50">
        <v>43190</v>
      </c>
      <c r="G127" s="51">
        <v>8000</v>
      </c>
      <c r="H127" s="64">
        <f t="shared" si="25"/>
        <v>5236</v>
      </c>
      <c r="I127" s="65">
        <f t="shared" si="26"/>
        <v>2764</v>
      </c>
      <c r="J127" s="60"/>
      <c r="K127" s="59"/>
      <c r="L127" s="66">
        <f t="shared" si="27"/>
        <v>5236</v>
      </c>
      <c r="M127" s="67">
        <f t="shared" si="28"/>
        <v>2764</v>
      </c>
      <c r="N127" s="80"/>
    </row>
    <row r="128" spans="1:14" ht="14.45" x14ac:dyDescent="0.3">
      <c r="A128" s="34" t="s">
        <v>28</v>
      </c>
      <c r="B128" s="34">
        <v>2018</v>
      </c>
      <c r="C128" s="34">
        <v>5</v>
      </c>
      <c r="D128" s="34" t="s">
        <v>30</v>
      </c>
      <c r="E128" s="34">
        <v>40810602</v>
      </c>
      <c r="F128" s="50">
        <v>43251</v>
      </c>
      <c r="G128" s="51">
        <v>3000</v>
      </c>
      <c r="H128" s="64">
        <f t="shared" si="25"/>
        <v>1963.5</v>
      </c>
      <c r="I128" s="65">
        <f t="shared" si="26"/>
        <v>1036.5</v>
      </c>
      <c r="J128" s="60"/>
      <c r="K128" s="59"/>
      <c r="L128" s="66">
        <f t="shared" si="27"/>
        <v>1963.5</v>
      </c>
      <c r="M128" s="67">
        <f t="shared" si="28"/>
        <v>1036.5</v>
      </c>
      <c r="N128" s="80"/>
    </row>
    <row r="129" spans="1:14" ht="14.45" x14ac:dyDescent="0.3">
      <c r="A129" s="34" t="s">
        <v>28</v>
      </c>
      <c r="B129" s="34">
        <v>2018</v>
      </c>
      <c r="C129" s="34">
        <v>6</v>
      </c>
      <c r="D129" s="34" t="s">
        <v>30</v>
      </c>
      <c r="E129" s="34">
        <v>40810602</v>
      </c>
      <c r="F129" s="50">
        <v>43281</v>
      </c>
      <c r="G129" s="51">
        <v>15000</v>
      </c>
      <c r="H129" s="64">
        <f t="shared" si="25"/>
        <v>9817.5</v>
      </c>
      <c r="I129" s="65">
        <f t="shared" si="26"/>
        <v>5182.5</v>
      </c>
      <c r="J129" s="60"/>
      <c r="K129" s="59"/>
      <c r="L129" s="66">
        <f t="shared" si="27"/>
        <v>9817.5</v>
      </c>
      <c r="M129" s="67">
        <f t="shared" si="28"/>
        <v>5182.5</v>
      </c>
      <c r="N129" s="80"/>
    </row>
    <row r="130" spans="1:14" ht="14.45" x14ac:dyDescent="0.3">
      <c r="A130" s="34" t="s">
        <v>28</v>
      </c>
      <c r="B130" s="34">
        <v>2017</v>
      </c>
      <c r="C130" s="34">
        <v>7</v>
      </c>
      <c r="D130" s="34" t="s">
        <v>31</v>
      </c>
      <c r="E130" s="34">
        <v>40810602</v>
      </c>
      <c r="F130" s="50">
        <v>42947</v>
      </c>
      <c r="G130" s="51">
        <v>94358.69</v>
      </c>
      <c r="H130" s="64">
        <f t="shared" si="25"/>
        <v>61757.762604999996</v>
      </c>
      <c r="I130" s="65">
        <f t="shared" si="26"/>
        <v>32600.927394999999</v>
      </c>
      <c r="J130" s="60"/>
      <c r="K130" s="59"/>
      <c r="L130" s="66">
        <f t="shared" si="27"/>
        <v>61757.762604999996</v>
      </c>
      <c r="M130" s="67">
        <f t="shared" si="28"/>
        <v>32600.927394999999</v>
      </c>
      <c r="N130" s="80"/>
    </row>
    <row r="131" spans="1:14" ht="14.45" x14ac:dyDescent="0.3">
      <c r="A131" s="34" t="s">
        <v>28</v>
      </c>
      <c r="B131" s="34">
        <v>2017</v>
      </c>
      <c r="C131" s="34">
        <v>8</v>
      </c>
      <c r="D131" s="34" t="s">
        <v>31</v>
      </c>
      <c r="E131" s="34">
        <v>40810602</v>
      </c>
      <c r="F131" s="50">
        <v>42978</v>
      </c>
      <c r="G131" s="51">
        <v>107981.59</v>
      </c>
      <c r="H131" s="64">
        <f t="shared" si="25"/>
        <v>70673.950654999993</v>
      </c>
      <c r="I131" s="65">
        <f t="shared" si="26"/>
        <v>37307.639344999996</v>
      </c>
      <c r="J131" s="60"/>
      <c r="K131" s="59"/>
      <c r="L131" s="66">
        <f t="shared" si="27"/>
        <v>70673.950654999993</v>
      </c>
      <c r="M131" s="67">
        <f t="shared" si="28"/>
        <v>37307.639344999996</v>
      </c>
      <c r="N131" s="80"/>
    </row>
    <row r="132" spans="1:14" ht="14.45" x14ac:dyDescent="0.3">
      <c r="A132" s="34" t="s">
        <v>28</v>
      </c>
      <c r="B132" s="34">
        <v>2017</v>
      </c>
      <c r="C132" s="34">
        <v>9</v>
      </c>
      <c r="D132" s="34" t="s">
        <v>31</v>
      </c>
      <c r="E132" s="34">
        <v>40810602</v>
      </c>
      <c r="F132" s="50">
        <v>43008</v>
      </c>
      <c r="G132" s="51">
        <v>96019.26</v>
      </c>
      <c r="H132" s="64">
        <f t="shared" si="25"/>
        <v>62844.605669999997</v>
      </c>
      <c r="I132" s="65">
        <f t="shared" si="26"/>
        <v>33174.654329999998</v>
      </c>
      <c r="J132" s="60"/>
      <c r="K132" s="59"/>
      <c r="L132" s="66">
        <f t="shared" si="27"/>
        <v>62844.605669999997</v>
      </c>
      <c r="M132" s="67">
        <f t="shared" si="28"/>
        <v>33174.654329999998</v>
      </c>
      <c r="N132" s="80"/>
    </row>
    <row r="133" spans="1:14" ht="14.45" x14ac:dyDescent="0.3">
      <c r="A133" s="34" t="s">
        <v>28</v>
      </c>
      <c r="B133" s="34">
        <v>2017</v>
      </c>
      <c r="C133" s="34">
        <v>10</v>
      </c>
      <c r="D133" s="34" t="s">
        <v>31</v>
      </c>
      <c r="E133" s="34">
        <v>40810602</v>
      </c>
      <c r="F133" s="50">
        <v>43039</v>
      </c>
      <c r="G133" s="51">
        <v>73711.89</v>
      </c>
      <c r="H133" s="64">
        <f t="shared" si="25"/>
        <v>48244.432004999995</v>
      </c>
      <c r="I133" s="65">
        <f t="shared" si="26"/>
        <v>25467.457994999997</v>
      </c>
      <c r="J133" s="60"/>
      <c r="K133" s="59"/>
      <c r="L133" s="66">
        <f t="shared" si="27"/>
        <v>48244.432004999995</v>
      </c>
      <c r="M133" s="67">
        <f t="shared" si="28"/>
        <v>25467.457994999997</v>
      </c>
      <c r="N133" s="80"/>
    </row>
    <row r="134" spans="1:14" ht="14.45" x14ac:dyDescent="0.3">
      <c r="A134" s="34" t="s">
        <v>28</v>
      </c>
      <c r="B134" s="34">
        <v>2017</v>
      </c>
      <c r="C134" s="34">
        <v>11</v>
      </c>
      <c r="D134" s="34" t="s">
        <v>31</v>
      </c>
      <c r="E134" s="34">
        <v>40810602</v>
      </c>
      <c r="F134" s="50">
        <v>43069</v>
      </c>
      <c r="G134" s="51">
        <v>123690.62</v>
      </c>
      <c r="H134" s="64">
        <f t="shared" si="25"/>
        <v>80955.51079</v>
      </c>
      <c r="I134" s="65">
        <f t="shared" si="26"/>
        <v>42735.109209999995</v>
      </c>
      <c r="J134" s="60"/>
      <c r="K134" s="59"/>
      <c r="L134" s="66">
        <f t="shared" si="27"/>
        <v>80955.51079</v>
      </c>
      <c r="M134" s="67">
        <f t="shared" si="28"/>
        <v>42735.109209999995</v>
      </c>
      <c r="N134" s="80"/>
    </row>
    <row r="135" spans="1:14" ht="14.45" x14ac:dyDescent="0.3">
      <c r="A135" s="34" t="s">
        <v>28</v>
      </c>
      <c r="B135" s="34">
        <v>2017</v>
      </c>
      <c r="C135" s="34">
        <v>12</v>
      </c>
      <c r="D135" s="34" t="s">
        <v>31</v>
      </c>
      <c r="E135" s="34">
        <v>40810602</v>
      </c>
      <c r="F135" s="50">
        <v>43100</v>
      </c>
      <c r="G135" s="51">
        <v>8428.32</v>
      </c>
      <c r="H135" s="64">
        <f t="shared" si="25"/>
        <v>5516.3354399999998</v>
      </c>
      <c r="I135" s="65">
        <f t="shared" si="26"/>
        <v>2911.9845599999999</v>
      </c>
      <c r="J135" s="60"/>
      <c r="K135" s="59"/>
      <c r="L135" s="66">
        <f t="shared" si="27"/>
        <v>5516.3354399999998</v>
      </c>
      <c r="M135" s="67">
        <f t="shared" si="28"/>
        <v>2911.9845599999999</v>
      </c>
      <c r="N135" s="80"/>
    </row>
    <row r="136" spans="1:14" ht="14.45" x14ac:dyDescent="0.3">
      <c r="A136" s="34" t="s">
        <v>28</v>
      </c>
      <c r="B136" s="34">
        <v>2018</v>
      </c>
      <c r="C136" s="34">
        <v>1</v>
      </c>
      <c r="D136" s="34" t="s">
        <v>31</v>
      </c>
      <c r="E136" s="34">
        <v>40810602</v>
      </c>
      <c r="F136" s="50">
        <v>43131</v>
      </c>
      <c r="G136" s="51">
        <v>102073.66</v>
      </c>
      <c r="H136" s="64">
        <f t="shared" si="25"/>
        <v>66807.210470000005</v>
      </c>
      <c r="I136" s="65">
        <f t="shared" si="26"/>
        <v>35266.449529999998</v>
      </c>
      <c r="J136" s="60"/>
      <c r="K136" s="59"/>
      <c r="L136" s="66">
        <f t="shared" si="27"/>
        <v>66807.210470000005</v>
      </c>
      <c r="M136" s="67">
        <f t="shared" si="28"/>
        <v>35266.449529999998</v>
      </c>
      <c r="N136" s="80"/>
    </row>
    <row r="137" spans="1:14" ht="14.45" x14ac:dyDescent="0.3">
      <c r="A137" s="34" t="s">
        <v>28</v>
      </c>
      <c r="B137" s="34">
        <v>2018</v>
      </c>
      <c r="C137" s="34">
        <v>2</v>
      </c>
      <c r="D137" s="34" t="s">
        <v>31</v>
      </c>
      <c r="E137" s="34">
        <v>40810602</v>
      </c>
      <c r="F137" s="50">
        <v>43159</v>
      </c>
      <c r="G137" s="51">
        <v>79572</v>
      </c>
      <c r="H137" s="64">
        <f t="shared" si="25"/>
        <v>52079.873999999996</v>
      </c>
      <c r="I137" s="65">
        <f t="shared" si="26"/>
        <v>27492.125999999997</v>
      </c>
      <c r="J137" s="60"/>
      <c r="K137" s="59"/>
      <c r="L137" s="66">
        <f t="shared" si="27"/>
        <v>52079.873999999996</v>
      </c>
      <c r="M137" s="67">
        <f t="shared" si="28"/>
        <v>27492.125999999997</v>
      </c>
      <c r="N137" s="80"/>
    </row>
    <row r="138" spans="1:14" ht="14.45" x14ac:dyDescent="0.3">
      <c r="A138" s="34" t="s">
        <v>28</v>
      </c>
      <c r="B138" s="34">
        <v>2018</v>
      </c>
      <c r="C138" s="34">
        <v>3</v>
      </c>
      <c r="D138" s="34" t="s">
        <v>31</v>
      </c>
      <c r="E138" s="34">
        <v>40810602</v>
      </c>
      <c r="F138" s="50">
        <v>43190</v>
      </c>
      <c r="G138" s="51">
        <v>88161.49</v>
      </c>
      <c r="H138" s="64">
        <f t="shared" si="25"/>
        <v>57701.695205000004</v>
      </c>
      <c r="I138" s="65">
        <f t="shared" si="26"/>
        <v>30459.794794999998</v>
      </c>
      <c r="J138" s="60"/>
      <c r="K138" s="59"/>
      <c r="L138" s="66">
        <f t="shared" si="27"/>
        <v>57701.695205000004</v>
      </c>
      <c r="M138" s="67">
        <f t="shared" si="28"/>
        <v>30459.794794999998</v>
      </c>
      <c r="N138" s="80"/>
    </row>
    <row r="139" spans="1:14" ht="14.45" x14ac:dyDescent="0.3">
      <c r="A139" s="34" t="s">
        <v>28</v>
      </c>
      <c r="B139" s="34">
        <v>2018</v>
      </c>
      <c r="C139" s="34">
        <v>4</v>
      </c>
      <c r="D139" s="34" t="s">
        <v>31</v>
      </c>
      <c r="E139" s="34">
        <v>40810602</v>
      </c>
      <c r="F139" s="50">
        <v>43220</v>
      </c>
      <c r="G139" s="51">
        <v>144496.71</v>
      </c>
      <c r="H139" s="64">
        <f t="shared" si="25"/>
        <v>94573.096694999986</v>
      </c>
      <c r="I139" s="65">
        <f t="shared" si="26"/>
        <v>49923.613304999992</v>
      </c>
      <c r="J139" s="60"/>
      <c r="K139" s="59"/>
      <c r="L139" s="66">
        <f t="shared" si="27"/>
        <v>94573.096694999986</v>
      </c>
      <c r="M139" s="67">
        <f t="shared" si="28"/>
        <v>49923.613304999992</v>
      </c>
      <c r="N139" s="80"/>
    </row>
    <row r="140" spans="1:14" ht="14.45" x14ac:dyDescent="0.3">
      <c r="A140" s="34" t="s">
        <v>28</v>
      </c>
      <c r="B140" s="34">
        <v>2018</v>
      </c>
      <c r="C140" s="34">
        <v>5</v>
      </c>
      <c r="D140" s="34" t="s">
        <v>31</v>
      </c>
      <c r="E140" s="34">
        <v>40810602</v>
      </c>
      <c r="F140" s="50">
        <v>43251</v>
      </c>
      <c r="G140" s="51">
        <v>131579.24</v>
      </c>
      <c r="H140" s="64">
        <f t="shared" si="25"/>
        <v>86118.612579999986</v>
      </c>
      <c r="I140" s="65">
        <f t="shared" si="26"/>
        <v>45460.62741999999</v>
      </c>
      <c r="J140" s="60"/>
      <c r="K140" s="59"/>
      <c r="L140" s="66">
        <f t="shared" si="27"/>
        <v>86118.612579999986</v>
      </c>
      <c r="M140" s="67">
        <f t="shared" si="28"/>
        <v>45460.62741999999</v>
      </c>
      <c r="N140" s="80"/>
    </row>
    <row r="141" spans="1:14" ht="14.45" x14ac:dyDescent="0.3">
      <c r="A141" s="34" t="s">
        <v>28</v>
      </c>
      <c r="B141" s="34">
        <v>2018</v>
      </c>
      <c r="C141" s="34">
        <v>6</v>
      </c>
      <c r="D141" s="34" t="s">
        <v>31</v>
      </c>
      <c r="E141" s="34">
        <v>40810602</v>
      </c>
      <c r="F141" s="50">
        <v>43281</v>
      </c>
      <c r="G141" s="51">
        <v>87522.240000000005</v>
      </c>
      <c r="H141" s="64">
        <f t="shared" si="25"/>
        <v>57283.306080000002</v>
      </c>
      <c r="I141" s="65">
        <f t="shared" si="26"/>
        <v>30238.933919999999</v>
      </c>
      <c r="J141" s="60"/>
      <c r="K141" s="59"/>
      <c r="L141" s="66">
        <f t="shared" si="27"/>
        <v>57283.306080000002</v>
      </c>
      <c r="M141" s="67">
        <f t="shared" si="28"/>
        <v>30238.933919999999</v>
      </c>
      <c r="N141" s="80"/>
    </row>
    <row r="142" spans="1:14" ht="14.45" x14ac:dyDescent="0.3">
      <c r="B142" s="156">
        <f>+'True-up prior period'!B11</f>
        <v>2018</v>
      </c>
      <c r="C142" s="156">
        <f>+'True-up prior period'!C11</f>
        <v>7</v>
      </c>
      <c r="D142" s="156" t="str">
        <f>+'True-up prior period'!D11</f>
        <v>No True-up</v>
      </c>
      <c r="E142" s="156">
        <f>+'True-up prior period'!E11</f>
        <v>0</v>
      </c>
      <c r="F142" s="144">
        <f>+'True-up prior period'!F11</f>
        <v>43312</v>
      </c>
      <c r="G142" s="145"/>
      <c r="H142" s="157"/>
      <c r="I142" s="158"/>
      <c r="J142" s="146">
        <f>+'True-up prior period'!G11*J3</f>
        <v>0</v>
      </c>
      <c r="K142" s="147">
        <f>+'True-up prior period'!G11*K3</f>
        <v>0</v>
      </c>
      <c r="L142" s="154">
        <f t="shared" ref="L142" si="29">+H142+J142</f>
        <v>0</v>
      </c>
      <c r="M142" s="155">
        <f t="shared" ref="M142" si="30">+I142+K142</f>
        <v>0</v>
      </c>
      <c r="N142" s="81">
        <v>2</v>
      </c>
    </row>
    <row r="143" spans="1:14" ht="14.45" x14ac:dyDescent="0.3">
      <c r="A143" s="44" t="s">
        <v>15</v>
      </c>
      <c r="B143" s="44" t="s">
        <v>15</v>
      </c>
      <c r="C143" s="44" t="s">
        <v>15</v>
      </c>
      <c r="D143" s="44" t="s">
        <v>15</v>
      </c>
      <c r="E143" s="44" t="s">
        <v>15</v>
      </c>
      <c r="F143" s="110"/>
      <c r="G143" s="111">
        <f>SUM(G110:G142)</f>
        <v>1213625.1099999999</v>
      </c>
      <c r="H143" s="111">
        <f t="shared" ref="H143:M143" si="31">SUM(H110:H142)</f>
        <v>794317.63449499989</v>
      </c>
      <c r="I143" s="111">
        <f t="shared" si="31"/>
        <v>419307.47550499992</v>
      </c>
      <c r="J143" s="111">
        <f t="shared" si="31"/>
        <v>-6.5449999999999996E-3</v>
      </c>
      <c r="K143" s="111">
        <f t="shared" si="31"/>
        <v>-3.4549999999999997E-3</v>
      </c>
      <c r="L143" s="111">
        <f t="shared" si="31"/>
        <v>794317.62794999999</v>
      </c>
      <c r="M143" s="111">
        <f t="shared" si="31"/>
        <v>419307.47204999992</v>
      </c>
      <c r="N143" s="80"/>
    </row>
    <row r="144" spans="1:14" ht="14.45" x14ac:dyDescent="0.3">
      <c r="A144" s="44" t="s">
        <v>41</v>
      </c>
      <c r="B144" s="44"/>
      <c r="C144" s="44"/>
      <c r="D144" s="44"/>
      <c r="E144" s="44"/>
      <c r="F144" s="110"/>
      <c r="G144" s="111">
        <f t="shared" ref="G144:M144" si="32">+G55+G108+G143</f>
        <v>124490302.81000002</v>
      </c>
      <c r="H144" s="114">
        <f t="shared" si="32"/>
        <v>87921192.234495014</v>
      </c>
      <c r="I144" s="114">
        <f t="shared" si="32"/>
        <v>36569110.575505011</v>
      </c>
      <c r="J144" s="114">
        <f t="shared" si="32"/>
        <v>23079.953454999999</v>
      </c>
      <c r="K144" s="114">
        <f t="shared" si="32"/>
        <v>689.12654499999996</v>
      </c>
      <c r="L144" s="114">
        <f t="shared" si="32"/>
        <v>87944272.187950015</v>
      </c>
      <c r="M144" s="114">
        <f t="shared" si="32"/>
        <v>36569703.252049997</v>
      </c>
      <c r="N144" s="82"/>
    </row>
    <row r="146" spans="1:1" ht="14.45" x14ac:dyDescent="0.3">
      <c r="A146" s="164" t="s">
        <v>136</v>
      </c>
    </row>
    <row r="147" spans="1:1" ht="14.45" x14ac:dyDescent="0.3">
      <c r="A147" s="164" t="s">
        <v>137</v>
      </c>
    </row>
  </sheetData>
  <pageMargins left="0.75" right="0.75" top="1" bottom="1" header="0.5" footer="0.5"/>
  <pageSetup scale="53" fitToHeight="3" orientation="landscape" r:id="rId1"/>
  <headerFooter alignWithMargins="0"/>
  <rowBreaks count="2" manualBreakCount="2">
    <brk id="55" max="13" man="1"/>
    <brk id="108"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C24" sqref="C24"/>
    </sheetView>
  </sheetViews>
  <sheetFormatPr defaultColWidth="9.140625" defaultRowHeight="12.75" x14ac:dyDescent="0.25"/>
  <cols>
    <col min="1" max="1" width="20" style="92" bestFit="1" customWidth="1"/>
    <col min="2" max="2" width="13" style="92" bestFit="1" customWidth="1"/>
    <col min="3" max="3" width="8" style="92" bestFit="1" customWidth="1"/>
    <col min="4" max="4" width="49" style="92" bestFit="1" customWidth="1"/>
    <col min="5" max="5" width="10" style="92" bestFit="1" customWidth="1"/>
    <col min="6" max="6" width="14" style="92" bestFit="1" customWidth="1"/>
    <col min="7" max="7" width="17" style="92" bestFit="1" customWidth="1"/>
    <col min="8" max="16384" width="9.140625" style="92"/>
  </cols>
  <sheetData/>
  <pageMargins left="0.75" right="0.75" top="1" bottom="1" header="0.5" footer="0.5"/>
  <pageSetup scale="5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workbookViewId="0">
      <selection activeCell="B21" sqref="B21"/>
    </sheetView>
  </sheetViews>
  <sheetFormatPr defaultColWidth="9.140625" defaultRowHeight="12.75" x14ac:dyDescent="0.25"/>
  <cols>
    <col min="1" max="1" width="20" style="92" bestFit="1" customWidth="1"/>
    <col min="2" max="2" width="13" style="92" bestFit="1" customWidth="1"/>
    <col min="3" max="3" width="8" style="92" bestFit="1" customWidth="1"/>
    <col min="4" max="4" width="49" style="92" bestFit="1" customWidth="1"/>
    <col min="5" max="5" width="10" style="92" bestFit="1" customWidth="1"/>
    <col min="6" max="6" width="14" style="92" bestFit="1" customWidth="1"/>
    <col min="7" max="7" width="17" style="92" bestFit="1" customWidth="1"/>
    <col min="8" max="16384" width="9.140625" style="92"/>
  </cols>
  <sheetData>
    <row r="1" spans="1:8" ht="13.9" thickBot="1" x14ac:dyDescent="0.35">
      <c r="A1" s="93" t="s">
        <v>126</v>
      </c>
      <c r="B1" s="93" t="s">
        <v>18</v>
      </c>
      <c r="C1" s="93" t="s">
        <v>19</v>
      </c>
      <c r="D1" s="93" t="s">
        <v>20</v>
      </c>
      <c r="E1" s="93" t="s">
        <v>12</v>
      </c>
      <c r="F1" s="93" t="s">
        <v>13</v>
      </c>
      <c r="G1" s="93" t="s">
        <v>14</v>
      </c>
    </row>
    <row r="2" spans="1:8" ht="14.45" x14ac:dyDescent="0.3">
      <c r="A2" s="95" t="s">
        <v>21</v>
      </c>
      <c r="B2" s="169">
        <v>2018</v>
      </c>
      <c r="C2" s="169">
        <v>7</v>
      </c>
      <c r="D2" s="96" t="s">
        <v>134</v>
      </c>
      <c r="E2" s="96"/>
      <c r="F2" s="167">
        <v>43312</v>
      </c>
      <c r="G2" s="97"/>
      <c r="H2" s="94" t="s">
        <v>127</v>
      </c>
    </row>
    <row r="3" spans="1:8" ht="13.15" x14ac:dyDescent="0.3">
      <c r="A3" s="168" t="s">
        <v>21</v>
      </c>
      <c r="B3" s="169">
        <v>2018</v>
      </c>
      <c r="C3" s="169">
        <v>7</v>
      </c>
      <c r="D3" s="169" t="s">
        <v>22</v>
      </c>
      <c r="E3" s="169">
        <v>40810002</v>
      </c>
      <c r="F3" s="170">
        <v>43312</v>
      </c>
      <c r="G3" s="175">
        <v>4242803.8600000003</v>
      </c>
    </row>
    <row r="4" spans="1:8" ht="13.15" x14ac:dyDescent="0.3">
      <c r="A4" s="168" t="s">
        <v>21</v>
      </c>
      <c r="B4" s="169">
        <v>2018</v>
      </c>
      <c r="C4" s="169">
        <v>7</v>
      </c>
      <c r="D4" s="169" t="s">
        <v>22</v>
      </c>
      <c r="E4" s="169">
        <v>40810002</v>
      </c>
      <c r="F4" s="170">
        <v>43304</v>
      </c>
      <c r="G4" s="175">
        <v>-3802994.6</v>
      </c>
    </row>
    <row r="5" spans="1:8" ht="13.9" thickBot="1" x14ac:dyDescent="0.35">
      <c r="A5" s="171" t="s">
        <v>21</v>
      </c>
      <c r="B5" s="172">
        <v>2018</v>
      </c>
      <c r="C5" s="172">
        <v>7</v>
      </c>
      <c r="D5" s="172" t="s">
        <v>24</v>
      </c>
      <c r="E5" s="172">
        <v>40810002</v>
      </c>
      <c r="F5" s="173">
        <v>43312</v>
      </c>
      <c r="G5" s="176">
        <v>5970408.6900000004</v>
      </c>
      <c r="H5" s="94"/>
    </row>
    <row r="6" spans="1:8" ht="13.15" x14ac:dyDescent="0.3">
      <c r="A6" s="165" t="s">
        <v>21</v>
      </c>
      <c r="B6" s="166">
        <v>2018</v>
      </c>
      <c r="C6" s="166">
        <v>7</v>
      </c>
      <c r="D6" s="166" t="s">
        <v>26</v>
      </c>
      <c r="E6" s="166">
        <v>40810302</v>
      </c>
      <c r="F6" s="167">
        <v>43312</v>
      </c>
      <c r="G6" s="177">
        <v>-96.45</v>
      </c>
      <c r="H6" s="94" t="s">
        <v>127</v>
      </c>
    </row>
    <row r="7" spans="1:8" ht="13.15" x14ac:dyDescent="0.3">
      <c r="A7" s="168" t="s">
        <v>21</v>
      </c>
      <c r="B7" s="169">
        <v>2018</v>
      </c>
      <c r="C7" s="169">
        <v>7</v>
      </c>
      <c r="D7" s="169" t="s">
        <v>25</v>
      </c>
      <c r="E7" s="169">
        <v>40810302</v>
      </c>
      <c r="F7" s="170">
        <v>43312</v>
      </c>
      <c r="G7" s="175">
        <v>826611.47</v>
      </c>
    </row>
    <row r="8" spans="1:8" ht="13.15" x14ac:dyDescent="0.3">
      <c r="A8" s="168" t="s">
        <v>21</v>
      </c>
      <c r="B8" s="169">
        <v>2018</v>
      </c>
      <c r="C8" s="169">
        <v>7</v>
      </c>
      <c r="D8" s="169" t="s">
        <v>25</v>
      </c>
      <c r="E8" s="169">
        <v>40810302</v>
      </c>
      <c r="F8" s="170">
        <v>43304</v>
      </c>
      <c r="G8" s="175">
        <v>-964205.7</v>
      </c>
      <c r="H8" s="94"/>
    </row>
    <row r="9" spans="1:8" ht="13.15" x14ac:dyDescent="0.3">
      <c r="A9" s="168" t="s">
        <v>21</v>
      </c>
      <c r="B9" s="169">
        <v>2018</v>
      </c>
      <c r="C9" s="169">
        <v>7</v>
      </c>
      <c r="D9" s="169" t="s">
        <v>27</v>
      </c>
      <c r="E9" s="169">
        <v>40810302</v>
      </c>
      <c r="F9" s="170">
        <v>43312</v>
      </c>
      <c r="G9" s="175">
        <v>1395585.76</v>
      </c>
    </row>
    <row r="10" spans="1:8" ht="13.9" thickBot="1" x14ac:dyDescent="0.35">
      <c r="A10" s="171" t="s">
        <v>21</v>
      </c>
      <c r="B10" s="172">
        <v>2018</v>
      </c>
      <c r="C10" s="172">
        <v>7</v>
      </c>
      <c r="D10" s="172" t="s">
        <v>135</v>
      </c>
      <c r="E10" s="172">
        <v>40810302</v>
      </c>
      <c r="F10" s="173">
        <v>43312</v>
      </c>
      <c r="G10" s="176">
        <v>78.319999999999993</v>
      </c>
    </row>
    <row r="11" spans="1:8" ht="14.45" x14ac:dyDescent="0.3">
      <c r="A11" s="95"/>
      <c r="B11" s="169">
        <v>2018</v>
      </c>
      <c r="C11" s="169">
        <v>7</v>
      </c>
      <c r="D11" s="96" t="s">
        <v>134</v>
      </c>
      <c r="E11" s="96"/>
      <c r="F11" s="167">
        <v>43312</v>
      </c>
      <c r="G11" s="178"/>
      <c r="H11" s="94" t="s">
        <v>127</v>
      </c>
    </row>
    <row r="12" spans="1:8" ht="13.15" x14ac:dyDescent="0.3">
      <c r="A12" s="168" t="s">
        <v>28</v>
      </c>
      <c r="B12" s="169">
        <v>2018</v>
      </c>
      <c r="C12" s="169">
        <v>7</v>
      </c>
      <c r="D12" s="169" t="s">
        <v>30</v>
      </c>
      <c r="E12" s="169">
        <v>40810602</v>
      </c>
      <c r="F12" s="170">
        <v>43312</v>
      </c>
      <c r="G12" s="175">
        <v>6000</v>
      </c>
    </row>
    <row r="13" spans="1:8" ht="13.15" x14ac:dyDescent="0.3">
      <c r="A13" s="168" t="s">
        <v>28</v>
      </c>
      <c r="B13" s="169">
        <v>2018</v>
      </c>
      <c r="C13" s="169">
        <v>7</v>
      </c>
      <c r="D13" s="169" t="s">
        <v>138</v>
      </c>
      <c r="E13" s="169">
        <v>40810602</v>
      </c>
      <c r="F13" s="170">
        <v>43312</v>
      </c>
      <c r="G13" s="175">
        <v>0.75</v>
      </c>
    </row>
    <row r="14" spans="1:8" ht="13.15" x14ac:dyDescent="0.3">
      <c r="A14" s="168" t="s">
        <v>28</v>
      </c>
      <c r="B14" s="169">
        <v>2018</v>
      </c>
      <c r="C14" s="169">
        <v>7</v>
      </c>
      <c r="D14" s="169" t="s">
        <v>138</v>
      </c>
      <c r="E14" s="169">
        <v>40810602</v>
      </c>
      <c r="F14" s="170">
        <v>43312</v>
      </c>
      <c r="G14" s="175">
        <v>2.35</v>
      </c>
    </row>
    <row r="15" spans="1:8" ht="13.15" x14ac:dyDescent="0.3">
      <c r="A15" s="168" t="s">
        <v>28</v>
      </c>
      <c r="B15" s="169">
        <v>2018</v>
      </c>
      <c r="C15" s="169">
        <v>7</v>
      </c>
      <c r="D15" s="169" t="s">
        <v>139</v>
      </c>
      <c r="E15" s="169">
        <v>40810602</v>
      </c>
      <c r="F15" s="170">
        <v>43312</v>
      </c>
      <c r="G15" s="175">
        <v>44.48</v>
      </c>
    </row>
    <row r="16" spans="1:8" ht="13.15" x14ac:dyDescent="0.3">
      <c r="A16" s="168" t="s">
        <v>28</v>
      </c>
      <c r="B16" s="169">
        <v>2018</v>
      </c>
      <c r="C16" s="169">
        <v>7</v>
      </c>
      <c r="D16" s="169" t="s">
        <v>31</v>
      </c>
      <c r="E16" s="169">
        <v>40810602</v>
      </c>
      <c r="F16" s="170">
        <v>43312</v>
      </c>
      <c r="G16" s="175">
        <v>159412.82999999999</v>
      </c>
    </row>
    <row r="17" spans="1:7" ht="13.15" x14ac:dyDescent="0.3">
      <c r="A17" s="168" t="s">
        <v>28</v>
      </c>
      <c r="B17" s="169">
        <v>2018</v>
      </c>
      <c r="C17" s="169">
        <v>7</v>
      </c>
      <c r="D17" s="169" t="s">
        <v>140</v>
      </c>
      <c r="E17" s="169">
        <v>40810602</v>
      </c>
      <c r="F17" s="170">
        <v>43312</v>
      </c>
      <c r="G17" s="175">
        <v>30</v>
      </c>
    </row>
    <row r="18" spans="1:7" ht="13.9" thickBot="1" x14ac:dyDescent="0.35">
      <c r="A18" s="171" t="s">
        <v>28</v>
      </c>
      <c r="B18" s="172">
        <v>2018</v>
      </c>
      <c r="C18" s="172">
        <v>7</v>
      </c>
      <c r="D18" s="172" t="s">
        <v>140</v>
      </c>
      <c r="E18" s="172">
        <v>40810602</v>
      </c>
      <c r="F18" s="173">
        <v>43312</v>
      </c>
      <c r="G18" s="176">
        <v>94</v>
      </c>
    </row>
    <row r="20" spans="1:7" ht="13.15" x14ac:dyDescent="0.3">
      <c r="G20" s="174">
        <f>SUM(G2:G18)</f>
        <v>7833775.7600000007</v>
      </c>
    </row>
  </sheetData>
  <pageMargins left="0.75" right="0.75" top="1" bottom="1" header="0.5" footer="0.5"/>
  <pageSetup scale="5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I24" sqref="I24"/>
    </sheetView>
  </sheetViews>
  <sheetFormatPr defaultColWidth="9.140625" defaultRowHeight="15" x14ac:dyDescent="0.25"/>
  <cols>
    <col min="1" max="2" width="9.140625" style="27"/>
    <col min="3" max="3" width="30.42578125" style="27" bestFit="1" customWidth="1"/>
    <col min="4" max="4" width="9" style="27" bestFit="1" customWidth="1"/>
    <col min="5" max="5" width="12.140625" style="27" bestFit="1" customWidth="1"/>
    <col min="6" max="6" width="15" style="27" bestFit="1" customWidth="1"/>
    <col min="7" max="8" width="9.140625" style="27"/>
    <col min="9" max="9" width="30.42578125" style="27" bestFit="1" customWidth="1"/>
    <col min="10" max="10" width="9.140625" style="27"/>
    <col min="11" max="11" width="10.7109375" style="27" bestFit="1" customWidth="1"/>
    <col min="12" max="12" width="11.7109375" style="27" bestFit="1" customWidth="1"/>
    <col min="13" max="13" width="9.140625" style="27"/>
    <col min="14" max="14" width="10.7109375" style="27" bestFit="1" customWidth="1"/>
    <col min="15" max="15" width="10.140625" style="27" bestFit="1" customWidth="1"/>
    <col min="16" max="16384" width="9.140625" style="27"/>
  </cols>
  <sheetData>
    <row r="1" spans="1:6" x14ac:dyDescent="0.25">
      <c r="A1" s="115" t="s">
        <v>18</v>
      </c>
      <c r="B1" s="115" t="s">
        <v>19</v>
      </c>
      <c r="C1" s="115" t="s">
        <v>20</v>
      </c>
      <c r="D1" s="115" t="s">
        <v>12</v>
      </c>
      <c r="E1" s="115" t="s">
        <v>13</v>
      </c>
      <c r="F1" s="115" t="s">
        <v>14</v>
      </c>
    </row>
    <row r="2" spans="1:6" x14ac:dyDescent="0.25">
      <c r="A2" s="28">
        <v>2017</v>
      </c>
      <c r="B2" s="28">
        <v>7</v>
      </c>
      <c r="C2" s="28" t="s">
        <v>128</v>
      </c>
      <c r="D2" s="28">
        <v>92800010</v>
      </c>
      <c r="E2" s="112">
        <v>42947</v>
      </c>
      <c r="F2" s="113">
        <v>327972</v>
      </c>
    </row>
    <row r="3" spans="1:6" x14ac:dyDescent="0.25">
      <c r="A3" s="28">
        <v>2017</v>
      </c>
      <c r="B3" s="28">
        <v>8</v>
      </c>
      <c r="C3" s="28" t="s">
        <v>128</v>
      </c>
      <c r="D3" s="28">
        <v>92800010</v>
      </c>
      <c r="E3" s="112">
        <v>42978</v>
      </c>
      <c r="F3" s="113">
        <v>360758</v>
      </c>
    </row>
    <row r="4" spans="1:6" x14ac:dyDescent="0.25">
      <c r="A4" s="28">
        <v>2017</v>
      </c>
      <c r="B4" s="28">
        <v>9</v>
      </c>
      <c r="C4" s="28" t="s">
        <v>128</v>
      </c>
      <c r="D4" s="28">
        <v>92800010</v>
      </c>
      <c r="E4" s="112">
        <v>43008</v>
      </c>
      <c r="F4" s="113">
        <v>335302</v>
      </c>
    </row>
    <row r="5" spans="1:6" x14ac:dyDescent="0.25">
      <c r="A5" s="28">
        <v>2017</v>
      </c>
      <c r="B5" s="28">
        <v>10</v>
      </c>
      <c r="C5" s="28" t="s">
        <v>128</v>
      </c>
      <c r="D5" s="28">
        <v>92800010</v>
      </c>
      <c r="E5" s="112">
        <v>43039</v>
      </c>
      <c r="F5" s="113">
        <v>380812</v>
      </c>
    </row>
    <row r="6" spans="1:6" x14ac:dyDescent="0.25">
      <c r="A6" s="28">
        <v>2017</v>
      </c>
      <c r="B6" s="28">
        <v>11</v>
      </c>
      <c r="C6" s="28" t="s">
        <v>128</v>
      </c>
      <c r="D6" s="28">
        <v>92800010</v>
      </c>
      <c r="E6" s="112">
        <v>43069</v>
      </c>
      <c r="F6" s="113">
        <v>434273</v>
      </c>
    </row>
    <row r="7" spans="1:6" x14ac:dyDescent="0.25">
      <c r="A7" s="28">
        <v>2017</v>
      </c>
      <c r="B7" s="28">
        <v>12</v>
      </c>
      <c r="C7" s="28" t="s">
        <v>128</v>
      </c>
      <c r="D7" s="28">
        <v>92800010</v>
      </c>
      <c r="E7" s="112">
        <v>43100</v>
      </c>
      <c r="F7" s="113">
        <v>499859</v>
      </c>
    </row>
    <row r="8" spans="1:6" x14ac:dyDescent="0.25">
      <c r="A8" s="28">
        <v>2017</v>
      </c>
      <c r="B8" s="28">
        <v>12</v>
      </c>
      <c r="C8" s="28" t="s">
        <v>128</v>
      </c>
      <c r="D8" s="28">
        <v>92800010</v>
      </c>
      <c r="E8" s="112">
        <v>43100</v>
      </c>
      <c r="F8" s="113">
        <v>-209739</v>
      </c>
    </row>
    <row r="9" spans="1:6" x14ac:dyDescent="0.25">
      <c r="A9" s="28">
        <v>2018</v>
      </c>
      <c r="B9" s="28">
        <v>1</v>
      </c>
      <c r="C9" s="28" t="s">
        <v>128</v>
      </c>
      <c r="D9" s="28">
        <v>92800010</v>
      </c>
      <c r="E9" s="112">
        <v>43131</v>
      </c>
      <c r="F9" s="113">
        <v>489693</v>
      </c>
    </row>
    <row r="10" spans="1:6" x14ac:dyDescent="0.25">
      <c r="A10" s="28">
        <v>2018</v>
      </c>
      <c r="B10" s="28">
        <v>2</v>
      </c>
      <c r="C10" s="28" t="s">
        <v>128</v>
      </c>
      <c r="D10" s="28">
        <v>92800010</v>
      </c>
      <c r="E10" s="112">
        <v>43159</v>
      </c>
      <c r="F10" s="113">
        <v>464165</v>
      </c>
    </row>
    <row r="11" spans="1:6" x14ac:dyDescent="0.25">
      <c r="A11" s="28">
        <v>2018</v>
      </c>
      <c r="B11" s="28">
        <v>3</v>
      </c>
      <c r="C11" s="28" t="s">
        <v>128</v>
      </c>
      <c r="D11" s="28">
        <v>92800010</v>
      </c>
      <c r="E11" s="112">
        <v>43190</v>
      </c>
      <c r="F11" s="113">
        <v>425881</v>
      </c>
    </row>
    <row r="12" spans="1:6" x14ac:dyDescent="0.25">
      <c r="A12" s="28">
        <v>2018</v>
      </c>
      <c r="B12" s="28">
        <v>4</v>
      </c>
      <c r="C12" s="28" t="s">
        <v>128</v>
      </c>
      <c r="D12" s="28">
        <v>92800010</v>
      </c>
      <c r="E12" s="112">
        <v>43220</v>
      </c>
      <c r="F12" s="113">
        <v>-54686.22</v>
      </c>
    </row>
    <row r="13" spans="1:6" x14ac:dyDescent="0.25">
      <c r="A13" s="28">
        <v>2018</v>
      </c>
      <c r="B13" s="28">
        <v>4</v>
      </c>
      <c r="C13" s="28" t="s">
        <v>128</v>
      </c>
      <c r="D13" s="28">
        <v>92800010</v>
      </c>
      <c r="E13" s="112">
        <v>43220</v>
      </c>
      <c r="F13" s="113">
        <v>350431</v>
      </c>
    </row>
    <row r="14" spans="1:6" x14ac:dyDescent="0.25">
      <c r="A14" s="28">
        <v>2018</v>
      </c>
      <c r="B14" s="28">
        <v>5</v>
      </c>
      <c r="C14" s="28" t="s">
        <v>128</v>
      </c>
      <c r="D14" s="28">
        <v>92800010</v>
      </c>
      <c r="E14" s="112">
        <v>43251</v>
      </c>
      <c r="F14" s="113">
        <v>333371</v>
      </c>
    </row>
    <row r="15" spans="1:6" x14ac:dyDescent="0.25">
      <c r="A15" s="28">
        <v>2018</v>
      </c>
      <c r="B15" s="28">
        <v>6</v>
      </c>
      <c r="C15" s="28" t="s">
        <v>128</v>
      </c>
      <c r="D15" s="28">
        <v>92800010</v>
      </c>
      <c r="E15" s="112">
        <v>43281</v>
      </c>
      <c r="F15" s="113">
        <v>310790</v>
      </c>
    </row>
    <row r="16" spans="1:6" x14ac:dyDescent="0.25">
      <c r="A16" s="115" t="s">
        <v>15</v>
      </c>
      <c r="B16" s="115" t="s">
        <v>15</v>
      </c>
      <c r="C16" s="115" t="s">
        <v>15</v>
      </c>
      <c r="D16" s="115" t="s">
        <v>15</v>
      </c>
      <c r="E16" s="116"/>
      <c r="F16" s="117">
        <f>SUM(F2:F15)</f>
        <v>4448881.7799999993</v>
      </c>
    </row>
    <row r="17" spans="1:6" x14ac:dyDescent="0.25">
      <c r="C17" s="28"/>
      <c r="D17" s="28"/>
      <c r="E17" s="28"/>
      <c r="F17" s="29"/>
    </row>
    <row r="18" spans="1:6" x14ac:dyDescent="0.25">
      <c r="A18" s="115" t="s">
        <v>18</v>
      </c>
      <c r="B18" s="115" t="s">
        <v>19</v>
      </c>
      <c r="C18" s="115" t="s">
        <v>20</v>
      </c>
      <c r="D18" s="115" t="s">
        <v>12</v>
      </c>
      <c r="E18" s="115" t="s">
        <v>13</v>
      </c>
      <c r="F18" s="115" t="s">
        <v>14</v>
      </c>
    </row>
    <row r="19" spans="1:6" x14ac:dyDescent="0.25">
      <c r="A19" s="28">
        <v>2017</v>
      </c>
      <c r="B19" s="28">
        <v>7</v>
      </c>
      <c r="C19" s="28" t="s">
        <v>129</v>
      </c>
      <c r="D19" s="28">
        <v>92800310</v>
      </c>
      <c r="E19" s="112">
        <v>42947</v>
      </c>
      <c r="F19" s="113">
        <v>37338</v>
      </c>
    </row>
    <row r="20" spans="1:6" x14ac:dyDescent="0.25">
      <c r="A20" s="28">
        <v>2017</v>
      </c>
      <c r="B20" s="28">
        <v>8</v>
      </c>
      <c r="C20" s="28" t="s">
        <v>129</v>
      </c>
      <c r="D20" s="28">
        <v>92800310</v>
      </c>
      <c r="E20" s="112">
        <v>42978</v>
      </c>
      <c r="F20" s="113">
        <v>31892</v>
      </c>
    </row>
    <row r="21" spans="1:6" x14ac:dyDescent="0.25">
      <c r="A21" s="28">
        <v>2017</v>
      </c>
      <c r="B21" s="28">
        <v>9</v>
      </c>
      <c r="C21" s="28" t="s">
        <v>129</v>
      </c>
      <c r="D21" s="28">
        <v>92800310</v>
      </c>
      <c r="E21" s="112">
        <v>43008</v>
      </c>
      <c r="F21" s="113">
        <v>33894</v>
      </c>
    </row>
    <row r="22" spans="1:6" x14ac:dyDescent="0.25">
      <c r="A22" s="28">
        <v>2017</v>
      </c>
      <c r="B22" s="28">
        <v>10</v>
      </c>
      <c r="C22" s="28" t="s">
        <v>129</v>
      </c>
      <c r="D22" s="28">
        <v>92800310</v>
      </c>
      <c r="E22" s="112">
        <v>43039</v>
      </c>
      <c r="F22" s="113">
        <v>109025</v>
      </c>
    </row>
    <row r="23" spans="1:6" x14ac:dyDescent="0.25">
      <c r="A23" s="28">
        <v>2017</v>
      </c>
      <c r="B23" s="28">
        <v>11</v>
      </c>
      <c r="C23" s="28" t="s">
        <v>129</v>
      </c>
      <c r="D23" s="28">
        <v>92800310</v>
      </c>
      <c r="E23" s="112">
        <v>43069</v>
      </c>
      <c r="F23" s="113">
        <v>210506</v>
      </c>
    </row>
    <row r="24" spans="1:6" x14ac:dyDescent="0.25">
      <c r="A24" s="28">
        <v>2017</v>
      </c>
      <c r="B24" s="28">
        <v>12</v>
      </c>
      <c r="C24" s="28" t="s">
        <v>129</v>
      </c>
      <c r="D24" s="28">
        <v>92800310</v>
      </c>
      <c r="E24" s="112">
        <v>43100</v>
      </c>
      <c r="F24" s="113">
        <v>269134</v>
      </c>
    </row>
    <row r="25" spans="1:6" x14ac:dyDescent="0.25">
      <c r="A25" s="28">
        <v>2017</v>
      </c>
      <c r="B25" s="28">
        <v>12</v>
      </c>
      <c r="C25" s="28" t="s">
        <v>129</v>
      </c>
      <c r="D25" s="28">
        <v>92800310</v>
      </c>
      <c r="E25" s="112">
        <v>43100</v>
      </c>
      <c r="F25" s="113">
        <v>254769</v>
      </c>
    </row>
    <row r="26" spans="1:6" x14ac:dyDescent="0.25">
      <c r="A26" s="28">
        <v>2018</v>
      </c>
      <c r="B26" s="28">
        <v>1</v>
      </c>
      <c r="C26" s="28" t="s">
        <v>129</v>
      </c>
      <c r="D26" s="28">
        <v>92800310</v>
      </c>
      <c r="E26" s="112">
        <v>43131</v>
      </c>
      <c r="F26" s="113">
        <v>242799</v>
      </c>
    </row>
    <row r="27" spans="1:6" x14ac:dyDescent="0.25">
      <c r="A27" s="28">
        <v>2018</v>
      </c>
      <c r="B27" s="28">
        <v>2</v>
      </c>
      <c r="C27" s="28" t="s">
        <v>129</v>
      </c>
      <c r="D27" s="28">
        <v>92800310</v>
      </c>
      <c r="E27" s="112">
        <v>43159</v>
      </c>
      <c r="F27" s="113">
        <v>246718</v>
      </c>
    </row>
    <row r="28" spans="1:6" ht="14.45" x14ac:dyDescent="0.3">
      <c r="A28" s="28">
        <v>2018</v>
      </c>
      <c r="B28" s="28">
        <v>3</v>
      </c>
      <c r="C28" s="28" t="s">
        <v>129</v>
      </c>
      <c r="D28" s="28">
        <v>92800310</v>
      </c>
      <c r="E28" s="112">
        <v>43190</v>
      </c>
      <c r="F28" s="113">
        <v>218153</v>
      </c>
    </row>
    <row r="29" spans="1:6" ht="14.45" x14ac:dyDescent="0.3">
      <c r="A29" s="28">
        <v>2018</v>
      </c>
      <c r="B29" s="28">
        <v>4</v>
      </c>
      <c r="C29" s="28" t="s">
        <v>129</v>
      </c>
      <c r="D29" s="28">
        <v>92800310</v>
      </c>
      <c r="E29" s="112">
        <v>43220</v>
      </c>
      <c r="F29" s="113">
        <v>-50.26</v>
      </c>
    </row>
    <row r="30" spans="1:6" ht="14.45" x14ac:dyDescent="0.3">
      <c r="A30" s="28">
        <v>2018</v>
      </c>
      <c r="B30" s="28">
        <v>4</v>
      </c>
      <c r="C30" s="28" t="s">
        <v>129</v>
      </c>
      <c r="D30" s="28">
        <v>92800310</v>
      </c>
      <c r="E30" s="112">
        <v>43220</v>
      </c>
      <c r="F30" s="113">
        <v>154816</v>
      </c>
    </row>
    <row r="31" spans="1:6" ht="14.45" x14ac:dyDescent="0.3">
      <c r="A31" s="28">
        <v>2018</v>
      </c>
      <c r="B31" s="28">
        <v>5</v>
      </c>
      <c r="C31" s="28" t="s">
        <v>129</v>
      </c>
      <c r="D31" s="28">
        <v>92800310</v>
      </c>
      <c r="E31" s="112">
        <v>43251</v>
      </c>
      <c r="F31" s="113">
        <v>93193</v>
      </c>
    </row>
    <row r="32" spans="1:6" ht="14.45" x14ac:dyDescent="0.3">
      <c r="A32" s="28">
        <v>2018</v>
      </c>
      <c r="B32" s="28">
        <v>6</v>
      </c>
      <c r="C32" s="28" t="s">
        <v>129</v>
      </c>
      <c r="D32" s="28">
        <v>92800310</v>
      </c>
      <c r="E32" s="112">
        <v>43281</v>
      </c>
      <c r="F32" s="113">
        <v>84271</v>
      </c>
    </row>
    <row r="33" spans="1:6" ht="14.45" x14ac:dyDescent="0.3">
      <c r="A33" s="115" t="s">
        <v>15</v>
      </c>
      <c r="B33" s="115" t="s">
        <v>15</v>
      </c>
      <c r="C33" s="115" t="s">
        <v>15</v>
      </c>
      <c r="D33" s="115" t="s">
        <v>15</v>
      </c>
      <c r="E33" s="116"/>
      <c r="F33" s="117">
        <f>SUM(F19:F32)</f>
        <v>1986457.74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opLeftCell="A40" zoomScaleNormal="100" workbookViewId="0">
      <selection activeCell="D12" sqref="D12"/>
    </sheetView>
  </sheetViews>
  <sheetFormatPr defaultColWidth="8.85546875" defaultRowHeight="15" x14ac:dyDescent="0.25"/>
  <cols>
    <col min="1" max="1" width="9.140625" style="129" customWidth="1"/>
    <col min="2" max="2" width="117.85546875" style="27" customWidth="1"/>
    <col min="3" max="3" width="3.7109375" style="27" bestFit="1" customWidth="1"/>
    <col min="4" max="4" width="17.7109375" style="27" bestFit="1" customWidth="1"/>
    <col min="5" max="5" width="15.85546875" style="27" bestFit="1" customWidth="1"/>
    <col min="6" max="6" width="19.85546875" style="27" bestFit="1" customWidth="1"/>
    <col min="7" max="16384" width="8.85546875" style="27"/>
  </cols>
  <sheetData>
    <row r="1" spans="1:6" ht="14.45" x14ac:dyDescent="0.3">
      <c r="A1" s="118" t="s">
        <v>42</v>
      </c>
      <c r="B1" s="118"/>
      <c r="C1" s="118"/>
      <c r="D1" s="118"/>
      <c r="E1" s="118"/>
      <c r="F1" s="118"/>
    </row>
    <row r="2" spans="1:6" ht="14.45" x14ac:dyDescent="0.3">
      <c r="A2" s="118" t="s">
        <v>43</v>
      </c>
      <c r="B2" s="118"/>
      <c r="C2" s="118"/>
      <c r="D2" s="118"/>
      <c r="E2" s="118"/>
      <c r="F2" s="118"/>
    </row>
    <row r="3" spans="1:6" ht="14.45" x14ac:dyDescent="0.3">
      <c r="A3" s="118" t="s">
        <v>101</v>
      </c>
      <c r="B3" s="119"/>
      <c r="C3" s="119"/>
      <c r="D3" s="119"/>
      <c r="E3" s="119"/>
      <c r="F3" s="119"/>
    </row>
    <row r="5" spans="1:6" ht="14.45" x14ac:dyDescent="0.3">
      <c r="A5" s="120" t="s">
        <v>96</v>
      </c>
    </row>
    <row r="6" spans="1:6" ht="14.45" x14ac:dyDescent="0.3">
      <c r="A6" s="121" t="s">
        <v>97</v>
      </c>
    </row>
    <row r="7" spans="1:6" ht="14.45" x14ac:dyDescent="0.3">
      <c r="A7" s="121" t="s">
        <v>98</v>
      </c>
    </row>
    <row r="8" spans="1:6" ht="14.45" x14ac:dyDescent="0.3">
      <c r="A8" s="121" t="s">
        <v>99</v>
      </c>
    </row>
    <row r="9" spans="1:6" ht="14.45" x14ac:dyDescent="0.3">
      <c r="A9" s="121" t="s">
        <v>100</v>
      </c>
    </row>
    <row r="10" spans="1:6" ht="14.45" x14ac:dyDescent="0.3">
      <c r="A10" s="121"/>
    </row>
    <row r="11" spans="1:6" ht="14.45" x14ac:dyDescent="0.3">
      <c r="A11" s="122" t="s">
        <v>45</v>
      </c>
    </row>
    <row r="12" spans="1:6" ht="14.45" x14ac:dyDescent="0.3">
      <c r="A12" s="122" t="s">
        <v>46</v>
      </c>
      <c r="B12" s="27" t="s">
        <v>47</v>
      </c>
      <c r="C12" s="123" t="s">
        <v>46</v>
      </c>
      <c r="D12" s="142">
        <f>+'[2]Allocated Summary'!$B$11</f>
        <v>2239474108.7599998</v>
      </c>
    </row>
    <row r="13" spans="1:6" ht="14.45" x14ac:dyDescent="0.3">
      <c r="A13" s="122" t="s">
        <v>48</v>
      </c>
      <c r="B13" s="27" t="s">
        <v>49</v>
      </c>
      <c r="C13" s="125" t="s">
        <v>44</v>
      </c>
      <c r="D13" s="27" t="s">
        <v>48</v>
      </c>
    </row>
    <row r="14" spans="1:6" ht="14.45" x14ac:dyDescent="0.3">
      <c r="A14" s="122" t="s">
        <v>50</v>
      </c>
      <c r="B14" s="27" t="s">
        <v>51</v>
      </c>
      <c r="C14" s="125"/>
      <c r="D14" s="27" t="s">
        <v>50</v>
      </c>
    </row>
    <row r="15" spans="1:6" ht="14.45" x14ac:dyDescent="0.3">
      <c r="A15" s="122" t="s">
        <v>52</v>
      </c>
      <c r="B15" s="27" t="s">
        <v>107</v>
      </c>
      <c r="C15" s="27" t="s">
        <v>52</v>
      </c>
      <c r="D15" s="124"/>
    </row>
    <row r="16" spans="1:6" ht="14.45" x14ac:dyDescent="0.3">
      <c r="A16" s="122" t="s">
        <v>53</v>
      </c>
      <c r="B16" s="27" t="s">
        <v>108</v>
      </c>
      <c r="C16" s="27" t="s">
        <v>53</v>
      </c>
      <c r="D16" s="124"/>
    </row>
    <row r="17" spans="1:7" thickBot="1" x14ac:dyDescent="0.35">
      <c r="A17" s="122">
        <v>1</v>
      </c>
      <c r="B17" s="126" t="s">
        <v>54</v>
      </c>
      <c r="D17" s="27" t="s">
        <v>55</v>
      </c>
      <c r="E17" s="27">
        <v>1</v>
      </c>
      <c r="F17" s="78">
        <f>+D12</f>
        <v>2239474108.7599998</v>
      </c>
    </row>
    <row r="18" spans="1:7" ht="15.6" thickTop="1" thickBot="1" x14ac:dyDescent="0.35">
      <c r="A18" s="122">
        <v>2</v>
      </c>
      <c r="B18" s="27" t="s">
        <v>56</v>
      </c>
      <c r="E18" s="27">
        <v>2</v>
      </c>
      <c r="F18" s="78">
        <f>+E48</f>
        <v>54912663.4099999</v>
      </c>
      <c r="G18" s="27" t="s">
        <v>109</v>
      </c>
    </row>
    <row r="19" spans="1:7" thickTop="1" x14ac:dyDescent="0.3">
      <c r="A19" s="122">
        <v>3</v>
      </c>
      <c r="B19" s="27" t="s">
        <v>57</v>
      </c>
      <c r="E19" s="27">
        <v>3</v>
      </c>
      <c r="F19" s="127">
        <f>SUM(F17:F18)</f>
        <v>2294386772.1699996</v>
      </c>
    </row>
    <row r="20" spans="1:7" ht="14.45" x14ac:dyDescent="0.3">
      <c r="A20" s="122">
        <v>4</v>
      </c>
      <c r="B20" s="27" t="s">
        <v>58</v>
      </c>
      <c r="E20" s="27">
        <v>4</v>
      </c>
      <c r="F20" s="128"/>
    </row>
    <row r="21" spans="1:7" ht="14.45" x14ac:dyDescent="0.3">
      <c r="A21" s="122" t="s">
        <v>59</v>
      </c>
      <c r="B21" s="27" t="s">
        <v>102</v>
      </c>
      <c r="E21" s="129" t="s">
        <v>60</v>
      </c>
      <c r="F21" s="130">
        <f>IF(AND(F19&gt;=1,F19&lt;20000),"ZERO", 0)</f>
        <v>0</v>
      </c>
    </row>
    <row r="22" spans="1:7" ht="14.45" x14ac:dyDescent="0.3">
      <c r="A22" s="122" t="s">
        <v>61</v>
      </c>
      <c r="B22" s="27" t="s">
        <v>103</v>
      </c>
      <c r="C22" s="27" t="s">
        <v>62</v>
      </c>
      <c r="D22" s="131">
        <f>IF(AND(20000&lt;=F19,F19&lt;=50000),F19, 0)</f>
        <v>0</v>
      </c>
      <c r="E22" s="128" t="s">
        <v>63</v>
      </c>
      <c r="F22" s="132">
        <f>IF(D22&gt;1, (D22*0.001), 0)</f>
        <v>0</v>
      </c>
    </row>
    <row r="23" spans="1:7" x14ac:dyDescent="0.25">
      <c r="A23" s="122"/>
      <c r="B23" s="27" t="s">
        <v>104</v>
      </c>
    </row>
    <row r="24" spans="1:7" x14ac:dyDescent="0.25">
      <c r="A24" s="122" t="s">
        <v>64</v>
      </c>
      <c r="B24" s="27" t="s">
        <v>105</v>
      </c>
      <c r="C24" s="27" t="s">
        <v>65</v>
      </c>
      <c r="D24" s="132">
        <f>IF(F19&gt;50000, F19, 0)</f>
        <v>2294386772.1699996</v>
      </c>
    </row>
    <row r="25" spans="1:7" x14ac:dyDescent="0.25">
      <c r="A25" s="122" t="s">
        <v>66</v>
      </c>
      <c r="B25" s="27" t="s">
        <v>106</v>
      </c>
      <c r="C25" s="27" t="s">
        <v>67</v>
      </c>
      <c r="D25" s="132">
        <f>IF(D24&gt;1, 50000, 0)</f>
        <v>50000</v>
      </c>
      <c r="E25" s="128" t="s">
        <v>63</v>
      </c>
      <c r="F25" s="132">
        <f t="shared" ref="F25" si="0">IF(D25&gt;1, (D25*0.001), 0)</f>
        <v>50</v>
      </c>
    </row>
    <row r="26" spans="1:7" x14ac:dyDescent="0.25">
      <c r="A26" s="122" t="s">
        <v>68</v>
      </c>
      <c r="B26" s="27" t="s">
        <v>69</v>
      </c>
      <c r="C26" s="27" t="s">
        <v>70</v>
      </c>
      <c r="D26" s="132">
        <f>+D24-D25</f>
        <v>2294336772.1699996</v>
      </c>
      <c r="E26" s="128" t="s">
        <v>71</v>
      </c>
      <c r="F26" s="132">
        <f>IF(D26&gt;1, (D26*0.002), 0)</f>
        <v>4588673.5443399996</v>
      </c>
    </row>
    <row r="27" spans="1:7" x14ac:dyDescent="0.25">
      <c r="A27" s="122">
        <v>5</v>
      </c>
      <c r="B27" s="27" t="s">
        <v>72</v>
      </c>
      <c r="E27" s="27">
        <v>5</v>
      </c>
      <c r="F27" s="132">
        <f>SUM(F25:F26)</f>
        <v>4588723.5443399996</v>
      </c>
    </row>
    <row r="28" spans="1:7" x14ac:dyDescent="0.25">
      <c r="A28" s="122"/>
      <c r="E28" s="133" t="s">
        <v>73</v>
      </c>
      <c r="F28" s="134" t="s">
        <v>74</v>
      </c>
    </row>
    <row r="29" spans="1:7" x14ac:dyDescent="0.25">
      <c r="A29" s="122"/>
      <c r="B29" s="126" t="s">
        <v>75</v>
      </c>
    </row>
    <row r="30" spans="1:7" x14ac:dyDescent="0.25">
      <c r="A30" s="122">
        <v>6</v>
      </c>
      <c r="B30" s="27" t="s">
        <v>76</v>
      </c>
      <c r="E30" s="27">
        <v>6</v>
      </c>
      <c r="F30" s="128"/>
    </row>
    <row r="31" spans="1:7" x14ac:dyDescent="0.25">
      <c r="A31" s="122" t="s">
        <v>77</v>
      </c>
      <c r="B31" s="27" t="s">
        <v>78</v>
      </c>
      <c r="C31" s="27" t="s">
        <v>79</v>
      </c>
      <c r="D31" s="135">
        <v>0</v>
      </c>
      <c r="E31" s="128" t="s">
        <v>80</v>
      </c>
      <c r="F31" s="132">
        <f>IF(D31&gt;0, (D31*0.02), 0)</f>
        <v>0</v>
      </c>
    </row>
    <row r="32" spans="1:7" x14ac:dyDescent="0.25">
      <c r="A32" s="122">
        <v>7</v>
      </c>
      <c r="B32" s="27" t="s">
        <v>81</v>
      </c>
      <c r="E32" s="27">
        <v>7</v>
      </c>
      <c r="F32" s="128"/>
    </row>
    <row r="33" spans="1:6" x14ac:dyDescent="0.25">
      <c r="A33" s="122" t="s">
        <v>82</v>
      </c>
      <c r="B33" s="27" t="s">
        <v>83</v>
      </c>
      <c r="E33" s="129" t="s">
        <v>82</v>
      </c>
      <c r="F33" s="136"/>
    </row>
    <row r="34" spans="1:6" x14ac:dyDescent="0.25">
      <c r="A34" s="122" t="s">
        <v>84</v>
      </c>
      <c r="B34" s="27" t="s">
        <v>85</v>
      </c>
      <c r="E34" s="129" t="s">
        <v>84</v>
      </c>
      <c r="F34" s="132">
        <f>F27*F33*0.01</f>
        <v>0</v>
      </c>
    </row>
    <row r="35" spans="1:6" x14ac:dyDescent="0.25">
      <c r="A35" s="122">
        <v>8</v>
      </c>
      <c r="B35" s="27" t="s">
        <v>86</v>
      </c>
      <c r="E35" s="27">
        <v>8</v>
      </c>
      <c r="F35" s="132">
        <f>SUM(F34,F31)</f>
        <v>0</v>
      </c>
    </row>
    <row r="36" spans="1:6" x14ac:dyDescent="0.25">
      <c r="A36" s="122"/>
      <c r="E36" s="27" t="s">
        <v>73</v>
      </c>
      <c r="F36" s="134" t="s">
        <v>87</v>
      </c>
    </row>
    <row r="37" spans="1:6" x14ac:dyDescent="0.25">
      <c r="A37" s="122"/>
    </row>
    <row r="38" spans="1:6" x14ac:dyDescent="0.25">
      <c r="A38" s="122">
        <v>9</v>
      </c>
      <c r="B38" s="27" t="s">
        <v>88</v>
      </c>
      <c r="E38" s="27">
        <v>9</v>
      </c>
      <c r="F38" s="137">
        <f>IF((F21="ZERO"),"ZERO",SUM(F22,F27,F35))</f>
        <v>4588723.5443399996</v>
      </c>
    </row>
    <row r="39" spans="1:6" x14ac:dyDescent="0.25">
      <c r="A39" s="122"/>
    </row>
    <row r="40" spans="1:6" ht="45" x14ac:dyDescent="0.25">
      <c r="A40" s="122" t="s">
        <v>89</v>
      </c>
      <c r="B40" s="138" t="s">
        <v>90</v>
      </c>
    </row>
    <row r="41" spans="1:6" ht="28.9" x14ac:dyDescent="0.3">
      <c r="A41" s="122" t="s">
        <v>91</v>
      </c>
      <c r="B41" s="138" t="s">
        <v>92</v>
      </c>
    </row>
    <row r="43" spans="1:6" ht="14.45" x14ac:dyDescent="0.3">
      <c r="B43" s="139" t="s">
        <v>110</v>
      </c>
      <c r="C43" s="137"/>
      <c r="D43" s="137"/>
      <c r="E43" s="137"/>
      <c r="F43" s="137"/>
    </row>
    <row r="44" spans="1:6" ht="14.45" x14ac:dyDescent="0.3">
      <c r="B44" s="76" t="s">
        <v>93</v>
      </c>
      <c r="E44" s="163">
        <f>+[2]Detail!$G$28</f>
        <v>2507056.83</v>
      </c>
    </row>
    <row r="45" spans="1:6" ht="14.45" x14ac:dyDescent="0.3">
      <c r="B45" s="76" t="s">
        <v>94</v>
      </c>
      <c r="E45" s="163">
        <f>+[2]Detail!$G$29</f>
        <v>12066284.759999899</v>
      </c>
    </row>
    <row r="46" spans="1:6" ht="14.45" x14ac:dyDescent="0.3">
      <c r="B46" s="76" t="s">
        <v>95</v>
      </c>
      <c r="E46" s="163">
        <f>+[2]Detail!$G$30</f>
        <v>18412581.52</v>
      </c>
    </row>
    <row r="47" spans="1:6" ht="14.45" x14ac:dyDescent="0.3">
      <c r="B47" s="76" t="s">
        <v>113</v>
      </c>
      <c r="E47" s="163">
        <f>+'Order Group 456'!B64</f>
        <v>21926740.300000001</v>
      </c>
    </row>
    <row r="48" spans="1:6" thickBot="1" x14ac:dyDescent="0.35">
      <c r="B48" s="27" t="s">
        <v>111</v>
      </c>
      <c r="E48" s="140">
        <f>SUM(E44:E47)</f>
        <v>54912663.4099999</v>
      </c>
      <c r="F48" s="141"/>
    </row>
    <row r="49" spans="6:6" thickTop="1" x14ac:dyDescent="0.3">
      <c r="F49" s="141"/>
    </row>
  </sheetData>
  <dataValidations count="1">
    <dataValidation showInputMessage="1" errorTitle="test" error="test" sqref="F17"/>
  </dataValidations>
  <pageMargins left="0.7" right="0.7" top="0.75" bottom="0.75" header="0.3" footer="0.3"/>
  <pageSetup scale="5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topLeftCell="B40" zoomScaleNormal="100" workbookViewId="0">
      <selection activeCell="B21" sqref="B21"/>
    </sheetView>
  </sheetViews>
  <sheetFormatPr defaultColWidth="8.85546875" defaultRowHeight="15" x14ac:dyDescent="0.25"/>
  <cols>
    <col min="1" max="1" width="9.140625" style="129" customWidth="1"/>
    <col min="2" max="2" width="117.85546875" style="27" customWidth="1"/>
    <col min="3" max="3" width="3.7109375" style="27" bestFit="1" customWidth="1"/>
    <col min="4" max="4" width="17.7109375" style="27" bestFit="1" customWidth="1"/>
    <col min="5" max="5" width="15.85546875" style="27" bestFit="1" customWidth="1"/>
    <col min="6" max="6" width="19.85546875" style="27" bestFit="1" customWidth="1"/>
    <col min="7" max="16384" width="8.85546875" style="27"/>
  </cols>
  <sheetData>
    <row r="1" spans="1:6" ht="14.45" x14ac:dyDescent="0.3">
      <c r="A1" s="118" t="s">
        <v>42</v>
      </c>
      <c r="B1" s="118"/>
      <c r="C1" s="118"/>
      <c r="D1" s="118"/>
      <c r="E1" s="118"/>
      <c r="F1" s="118"/>
    </row>
    <row r="2" spans="1:6" ht="14.45" x14ac:dyDescent="0.3">
      <c r="A2" s="118" t="s">
        <v>122</v>
      </c>
      <c r="B2" s="118"/>
      <c r="C2" s="118"/>
      <c r="D2" s="118"/>
      <c r="E2" s="118"/>
      <c r="F2" s="118"/>
    </row>
    <row r="3" spans="1:6" ht="14.45" x14ac:dyDescent="0.3">
      <c r="A3" s="118" t="s">
        <v>101</v>
      </c>
      <c r="B3" s="119"/>
      <c r="C3" s="119"/>
      <c r="D3" s="119"/>
      <c r="E3" s="119"/>
      <c r="F3" s="119"/>
    </row>
    <row r="5" spans="1:6" ht="14.45" x14ac:dyDescent="0.3">
      <c r="A5" s="120" t="s">
        <v>114</v>
      </c>
    </row>
    <row r="6" spans="1:6" ht="14.45" x14ac:dyDescent="0.3">
      <c r="A6" s="121" t="s">
        <v>115</v>
      </c>
    </row>
    <row r="7" spans="1:6" ht="14.45" x14ac:dyDescent="0.3">
      <c r="A7" s="121" t="s">
        <v>116</v>
      </c>
    </row>
    <row r="8" spans="1:6" ht="14.45" x14ac:dyDescent="0.3">
      <c r="A8" s="121" t="s">
        <v>99</v>
      </c>
    </row>
    <row r="9" spans="1:6" ht="14.45" x14ac:dyDescent="0.3">
      <c r="A9" s="121" t="s">
        <v>117</v>
      </c>
    </row>
    <row r="10" spans="1:6" ht="14.45" x14ac:dyDescent="0.3">
      <c r="A10" s="121"/>
    </row>
    <row r="11" spans="1:6" ht="14.45" x14ac:dyDescent="0.3">
      <c r="A11" s="122" t="s">
        <v>45</v>
      </c>
    </row>
    <row r="12" spans="1:6" x14ac:dyDescent="0.25">
      <c r="A12" s="122" t="s">
        <v>46</v>
      </c>
      <c r="B12" s="27" t="s">
        <v>118</v>
      </c>
      <c r="C12" s="123" t="s">
        <v>46</v>
      </c>
      <c r="D12" s="142">
        <f>+'[2]Allocated Summary'!$C$11</f>
        <v>934816422.49000001</v>
      </c>
    </row>
    <row r="13" spans="1:6" x14ac:dyDescent="0.25">
      <c r="A13" s="122" t="s">
        <v>48</v>
      </c>
      <c r="B13" s="27" t="s">
        <v>49</v>
      </c>
      <c r="C13" s="125" t="s">
        <v>44</v>
      </c>
      <c r="D13" s="27" t="s">
        <v>48</v>
      </c>
    </row>
    <row r="14" spans="1:6" x14ac:dyDescent="0.25">
      <c r="A14" s="122" t="s">
        <v>50</v>
      </c>
      <c r="B14" s="27" t="s">
        <v>51</v>
      </c>
      <c r="C14" s="125"/>
      <c r="D14" s="27" t="s">
        <v>50</v>
      </c>
    </row>
    <row r="15" spans="1:6" x14ac:dyDescent="0.25">
      <c r="A15" s="122" t="s">
        <v>52</v>
      </c>
      <c r="B15" s="27" t="s">
        <v>107</v>
      </c>
      <c r="C15" s="27" t="s">
        <v>52</v>
      </c>
      <c r="D15" s="124"/>
    </row>
    <row r="16" spans="1:6" x14ac:dyDescent="0.25">
      <c r="A16" s="122" t="s">
        <v>53</v>
      </c>
      <c r="B16" s="27" t="s">
        <v>108</v>
      </c>
      <c r="C16" s="27" t="s">
        <v>53</v>
      </c>
      <c r="D16" s="124"/>
    </row>
    <row r="17" spans="1:6" thickBot="1" x14ac:dyDescent="0.35">
      <c r="A17" s="122">
        <v>1</v>
      </c>
      <c r="B17" s="126" t="s">
        <v>54</v>
      </c>
      <c r="D17" s="27" t="s">
        <v>55</v>
      </c>
      <c r="E17" s="27">
        <v>1</v>
      </c>
      <c r="F17" s="78">
        <f>+D12</f>
        <v>934816422.49000001</v>
      </c>
    </row>
    <row r="18" spans="1:6" ht="15.6" thickTop="1" thickBot="1" x14ac:dyDescent="0.35">
      <c r="A18" s="122">
        <v>2</v>
      </c>
      <c r="B18" s="27" t="s">
        <v>119</v>
      </c>
      <c r="E18" s="27">
        <v>2</v>
      </c>
      <c r="F18" s="78"/>
    </row>
    <row r="19" spans="1:6" thickTop="1" x14ac:dyDescent="0.3">
      <c r="A19" s="122">
        <v>3</v>
      </c>
      <c r="B19" s="27" t="s">
        <v>57</v>
      </c>
      <c r="E19" s="27">
        <v>3</v>
      </c>
      <c r="F19" s="127">
        <f>SUM(F17:F18)</f>
        <v>934816422.49000001</v>
      </c>
    </row>
    <row r="20" spans="1:6" ht="14.45" x14ac:dyDescent="0.3">
      <c r="A20" s="122">
        <v>4</v>
      </c>
      <c r="B20" s="27" t="s">
        <v>58</v>
      </c>
      <c r="E20" s="27">
        <v>4</v>
      </c>
      <c r="F20" s="128"/>
    </row>
    <row r="21" spans="1:6" ht="14.45" x14ac:dyDescent="0.3">
      <c r="A21" s="122" t="s">
        <v>59</v>
      </c>
      <c r="B21" s="27" t="s">
        <v>102</v>
      </c>
      <c r="E21" s="129" t="s">
        <v>60</v>
      </c>
      <c r="F21" s="130">
        <f>IF(AND(F19&gt;=1,F19&lt;20000),"ZERO", 0)</f>
        <v>0</v>
      </c>
    </row>
    <row r="22" spans="1:6" ht="14.45" x14ac:dyDescent="0.3">
      <c r="A22" s="122" t="s">
        <v>61</v>
      </c>
      <c r="B22" s="27" t="s">
        <v>103</v>
      </c>
      <c r="C22" s="27" t="s">
        <v>62</v>
      </c>
      <c r="D22" s="131">
        <f>IF(AND(20000&lt;=F19,F19&lt;=50000),F19, 0)</f>
        <v>0</v>
      </c>
      <c r="E22" s="128" t="s">
        <v>63</v>
      </c>
      <c r="F22" s="132">
        <f>IF(D22&gt;1, (D22*0.001), 0)</f>
        <v>0</v>
      </c>
    </row>
    <row r="23" spans="1:6" x14ac:dyDescent="0.25">
      <c r="A23" s="122"/>
      <c r="B23" s="27" t="s">
        <v>104</v>
      </c>
    </row>
    <row r="24" spans="1:6" x14ac:dyDescent="0.25">
      <c r="A24" s="122" t="s">
        <v>64</v>
      </c>
      <c r="B24" s="27" t="s">
        <v>105</v>
      </c>
      <c r="C24" s="27" t="s">
        <v>65</v>
      </c>
      <c r="D24" s="132">
        <f>IF(F19&gt;50000, F19, 0)</f>
        <v>934816422.49000001</v>
      </c>
    </row>
    <row r="25" spans="1:6" x14ac:dyDescent="0.25">
      <c r="A25" s="122" t="s">
        <v>66</v>
      </c>
      <c r="B25" s="27" t="s">
        <v>106</v>
      </c>
      <c r="C25" s="27" t="s">
        <v>67</v>
      </c>
      <c r="D25" s="132">
        <f>IF(D24&gt;1, 50000, 0)</f>
        <v>50000</v>
      </c>
      <c r="E25" s="128" t="s">
        <v>63</v>
      </c>
      <c r="F25" s="132">
        <f t="shared" ref="F25" si="0">IF(D25&gt;1, (D25*0.001), 0)</f>
        <v>50</v>
      </c>
    </row>
    <row r="26" spans="1:6" x14ac:dyDescent="0.25">
      <c r="A26" s="122" t="s">
        <v>68</v>
      </c>
      <c r="B26" s="27" t="s">
        <v>69</v>
      </c>
      <c r="C26" s="27" t="s">
        <v>70</v>
      </c>
      <c r="D26" s="132">
        <f>+D24-D25</f>
        <v>934766422.49000001</v>
      </c>
      <c r="E26" s="128" t="s">
        <v>71</v>
      </c>
      <c r="F26" s="132">
        <f>IF(D26&gt;1, (D26*0.002), 0)</f>
        <v>1869532.8449800001</v>
      </c>
    </row>
    <row r="27" spans="1:6" x14ac:dyDescent="0.25">
      <c r="A27" s="122">
        <v>5</v>
      </c>
      <c r="B27" s="27" t="s">
        <v>72</v>
      </c>
      <c r="E27" s="27">
        <v>5</v>
      </c>
      <c r="F27" s="132">
        <f>SUM(F25:F26)</f>
        <v>1869582.8449800001</v>
      </c>
    </row>
    <row r="28" spans="1:6" x14ac:dyDescent="0.25">
      <c r="A28" s="122"/>
      <c r="E28" s="133" t="s">
        <v>73</v>
      </c>
      <c r="F28" s="134" t="s">
        <v>74</v>
      </c>
    </row>
    <row r="29" spans="1:6" x14ac:dyDescent="0.25">
      <c r="A29" s="122"/>
      <c r="B29" s="126" t="s">
        <v>75</v>
      </c>
    </row>
    <row r="30" spans="1:6" x14ac:dyDescent="0.25">
      <c r="A30" s="122">
        <v>6</v>
      </c>
      <c r="B30" s="27" t="s">
        <v>76</v>
      </c>
      <c r="E30" s="27">
        <v>6</v>
      </c>
      <c r="F30" s="128"/>
    </row>
    <row r="31" spans="1:6" x14ac:dyDescent="0.25">
      <c r="A31" s="122" t="s">
        <v>77</v>
      </c>
      <c r="B31" s="27" t="s">
        <v>78</v>
      </c>
      <c r="C31" s="27" t="s">
        <v>79</v>
      </c>
      <c r="D31" s="135">
        <v>0</v>
      </c>
      <c r="E31" s="128" t="s">
        <v>80</v>
      </c>
      <c r="F31" s="132">
        <f>IF(D31&gt;0, (D31*0.02), 0)</f>
        <v>0</v>
      </c>
    </row>
    <row r="32" spans="1:6" x14ac:dyDescent="0.25">
      <c r="A32" s="122">
        <v>7</v>
      </c>
      <c r="B32" s="27" t="s">
        <v>81</v>
      </c>
      <c r="E32" s="27">
        <v>7</v>
      </c>
      <c r="F32" s="128"/>
    </row>
    <row r="33" spans="1:8" x14ac:dyDescent="0.25">
      <c r="A33" s="122" t="s">
        <v>82</v>
      </c>
      <c r="B33" s="27" t="s">
        <v>83</v>
      </c>
      <c r="E33" s="129" t="s">
        <v>82</v>
      </c>
      <c r="F33" s="136"/>
    </row>
    <row r="34" spans="1:8" x14ac:dyDescent="0.25">
      <c r="A34" s="122" t="s">
        <v>84</v>
      </c>
      <c r="B34" s="27" t="s">
        <v>85</v>
      </c>
      <c r="E34" s="129" t="s">
        <v>84</v>
      </c>
      <c r="F34" s="132">
        <f>F27*F33*0.01</f>
        <v>0</v>
      </c>
    </row>
    <row r="35" spans="1:8" x14ac:dyDescent="0.25">
      <c r="A35" s="122">
        <v>8</v>
      </c>
      <c r="B35" s="27" t="s">
        <v>86</v>
      </c>
      <c r="E35" s="27">
        <v>8</v>
      </c>
      <c r="F35" s="132">
        <f>SUM(F34,F31)</f>
        <v>0</v>
      </c>
    </row>
    <row r="36" spans="1:8" x14ac:dyDescent="0.25">
      <c r="A36" s="122"/>
      <c r="E36" s="27" t="s">
        <v>73</v>
      </c>
      <c r="F36" s="134" t="s">
        <v>87</v>
      </c>
    </row>
    <row r="37" spans="1:8" x14ac:dyDescent="0.25">
      <c r="A37" s="122"/>
    </row>
    <row r="38" spans="1:8" x14ac:dyDescent="0.25">
      <c r="A38" s="122">
        <v>9</v>
      </c>
      <c r="B38" s="27" t="s">
        <v>120</v>
      </c>
      <c r="E38" s="27">
        <v>9</v>
      </c>
      <c r="F38" s="137">
        <f>IF((F21="ZERO"),"ZERO",SUM(F22,F27,F35))</f>
        <v>1869582.8449800001</v>
      </c>
    </row>
    <row r="39" spans="1:8" x14ac:dyDescent="0.25">
      <c r="A39" s="122"/>
    </row>
    <row r="40" spans="1:8" ht="105" x14ac:dyDescent="0.25">
      <c r="A40" s="122" t="s">
        <v>89</v>
      </c>
      <c r="B40" s="138" t="s">
        <v>121</v>
      </c>
    </row>
    <row r="41" spans="1:8" ht="28.9" x14ac:dyDescent="0.3">
      <c r="A41" s="122" t="s">
        <v>91</v>
      </c>
      <c r="B41" s="138" t="s">
        <v>92</v>
      </c>
    </row>
    <row r="43" spans="1:8" ht="14.45" x14ac:dyDescent="0.3">
      <c r="G43" s="137"/>
      <c r="H43" s="137"/>
    </row>
    <row r="44" spans="1:8" ht="14.45" x14ac:dyDescent="0.3">
      <c r="G44" s="137"/>
      <c r="H44" s="137"/>
    </row>
    <row r="45" spans="1:8" ht="14.45" x14ac:dyDescent="0.3">
      <c r="G45" s="137"/>
      <c r="H45" s="137"/>
    </row>
    <row r="46" spans="1:8" ht="14.45" x14ac:dyDescent="0.3">
      <c r="G46" s="137"/>
      <c r="H46" s="137"/>
    </row>
    <row r="47" spans="1:8" ht="14.45" x14ac:dyDescent="0.3">
      <c r="G47" s="137"/>
      <c r="H47" s="137"/>
    </row>
    <row r="48" spans="1:8" ht="14.45" x14ac:dyDescent="0.3">
      <c r="B48" s="137"/>
      <c r="C48" s="137"/>
      <c r="D48" s="137"/>
      <c r="E48" s="137"/>
      <c r="F48" s="137"/>
      <c r="G48" s="137"/>
      <c r="H48" s="137"/>
    </row>
  </sheetData>
  <dataValidations count="1">
    <dataValidation showInputMessage="1" errorTitle="test" error="test" sqref="F17"/>
  </dataValidations>
  <pageMargins left="0.7" right="0.7" top="0.75" bottom="0.75" header="0.3" footer="0.3"/>
  <pageSetup scale="6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9"/>
  <sheetViews>
    <sheetView topLeftCell="A37" workbookViewId="0"/>
  </sheetViews>
  <sheetFormatPr defaultRowHeight="15" x14ac:dyDescent="0.25"/>
  <cols>
    <col min="1" max="1" width="50.85546875" bestFit="1" customWidth="1"/>
    <col min="2" max="2" width="16" style="75" bestFit="1" customWidth="1"/>
    <col min="4" max="4" width="69.28515625" customWidth="1"/>
    <col min="5" max="5" width="16" bestFit="1" customWidth="1"/>
    <col min="7" max="7" width="50.85546875" bestFit="1" customWidth="1"/>
    <col min="8" max="8" width="16" bestFit="1" customWidth="1"/>
    <col min="9" max="9" width="15" bestFit="1" customWidth="1"/>
  </cols>
  <sheetData>
    <row r="1" spans="1:2" x14ac:dyDescent="0.25">
      <c r="A1" t="s">
        <v>112</v>
      </c>
    </row>
    <row r="9" spans="1:2" x14ac:dyDescent="0.25">
      <c r="A9" t="s">
        <v>130</v>
      </c>
    </row>
    <row r="10" spans="1:2" x14ac:dyDescent="0.25">
      <c r="A10" t="s">
        <v>193</v>
      </c>
    </row>
    <row r="12" spans="1:2" x14ac:dyDescent="0.25">
      <c r="A12" t="s">
        <v>132</v>
      </c>
      <c r="B12" t="s">
        <v>133</v>
      </c>
    </row>
    <row r="13" spans="1:2" ht="14.45" x14ac:dyDescent="0.3">
      <c r="A13" s="179" t="s">
        <v>141</v>
      </c>
      <c r="B13" s="180">
        <v>0</v>
      </c>
    </row>
    <row r="14" spans="1:2" ht="14.45" x14ac:dyDescent="0.3">
      <c r="A14" s="179" t="s">
        <v>142</v>
      </c>
      <c r="B14" s="180">
        <v>-3695.33</v>
      </c>
    </row>
    <row r="15" spans="1:2" ht="14.45" x14ac:dyDescent="0.3">
      <c r="A15" s="179" t="s">
        <v>143</v>
      </c>
      <c r="B15" s="180">
        <v>250251.95</v>
      </c>
    </row>
    <row r="16" spans="1:2" ht="14.45" x14ac:dyDescent="0.3">
      <c r="A16" s="179" t="s">
        <v>144</v>
      </c>
      <c r="B16" s="180">
        <v>-28527.86</v>
      </c>
    </row>
    <row r="17" spans="1:2" ht="14.45" x14ac:dyDescent="0.3">
      <c r="A17" s="179" t="s">
        <v>145</v>
      </c>
      <c r="B17" s="180">
        <v>418667.41</v>
      </c>
    </row>
    <row r="18" spans="1:2" ht="14.45" x14ac:dyDescent="0.3">
      <c r="A18" s="179" t="s">
        <v>146</v>
      </c>
      <c r="B18" s="180">
        <v>-7721.7</v>
      </c>
    </row>
    <row r="19" spans="1:2" ht="14.45" x14ac:dyDescent="0.3">
      <c r="A19" s="179" t="s">
        <v>147</v>
      </c>
      <c r="B19" s="180">
        <v>-236401.49</v>
      </c>
    </row>
    <row r="20" spans="1:2" ht="14.45" x14ac:dyDescent="0.3">
      <c r="A20" s="179" t="s">
        <v>148</v>
      </c>
      <c r="B20" s="180">
        <v>-351.32</v>
      </c>
    </row>
    <row r="21" spans="1:2" ht="14.45" x14ac:dyDescent="0.3">
      <c r="A21" s="179" t="s">
        <v>149</v>
      </c>
      <c r="B21" s="180">
        <v>-107071777.34999999</v>
      </c>
    </row>
    <row r="22" spans="1:2" ht="14.45" x14ac:dyDescent="0.3">
      <c r="A22" s="179" t="s">
        <v>150</v>
      </c>
      <c r="B22" s="180">
        <v>97937263.549999997</v>
      </c>
    </row>
    <row r="23" spans="1:2" ht="14.45" x14ac:dyDescent="0.3">
      <c r="A23" s="179" t="s">
        <v>151</v>
      </c>
      <c r="B23" s="180">
        <v>-78620.05</v>
      </c>
    </row>
    <row r="24" spans="1:2" ht="14.45" x14ac:dyDescent="0.3">
      <c r="A24" s="179" t="s">
        <v>152</v>
      </c>
      <c r="B24" s="180">
        <v>-1026108</v>
      </c>
    </row>
    <row r="25" spans="1:2" ht="14.45" x14ac:dyDescent="0.3">
      <c r="A25" s="179" t="s">
        <v>153</v>
      </c>
      <c r="B25" s="180">
        <v>-277918.26</v>
      </c>
    </row>
    <row r="26" spans="1:2" ht="14.45" x14ac:dyDescent="0.3">
      <c r="A26" s="179" t="s">
        <v>154</v>
      </c>
      <c r="B26" s="180">
        <v>-2084821.08</v>
      </c>
    </row>
    <row r="27" spans="1:2" ht="14.45" x14ac:dyDescent="0.3">
      <c r="A27" s="179" t="s">
        <v>155</v>
      </c>
      <c r="B27" s="180">
        <v>477465.61</v>
      </c>
    </row>
    <row r="28" spans="1:2" ht="14.45" x14ac:dyDescent="0.3">
      <c r="A28" s="179" t="s">
        <v>156</v>
      </c>
      <c r="B28" s="180">
        <v>-914684.04</v>
      </c>
    </row>
    <row r="29" spans="1:2" ht="14.45" x14ac:dyDescent="0.3">
      <c r="A29" s="179" t="s">
        <v>157</v>
      </c>
      <c r="B29" s="180">
        <v>2332894.9300000002</v>
      </c>
    </row>
    <row r="30" spans="1:2" ht="14.45" x14ac:dyDescent="0.3">
      <c r="A30" s="179" t="s">
        <v>158</v>
      </c>
      <c r="B30" s="180">
        <v>-764771.32</v>
      </c>
    </row>
    <row r="31" spans="1:2" ht="14.45" x14ac:dyDescent="0.3">
      <c r="A31" s="179" t="s">
        <v>159</v>
      </c>
      <c r="B31" s="180">
        <v>2566226.2000000002</v>
      </c>
    </row>
    <row r="32" spans="1:2" ht="14.45" x14ac:dyDescent="0.3">
      <c r="A32" s="179" t="s">
        <v>160</v>
      </c>
      <c r="B32" s="180">
        <v>-1372115.8</v>
      </c>
    </row>
    <row r="33" spans="1:2" ht="14.45" x14ac:dyDescent="0.3">
      <c r="A33" s="179" t="s">
        <v>161</v>
      </c>
      <c r="B33" s="180">
        <v>-90075.96</v>
      </c>
    </row>
    <row r="34" spans="1:2" ht="14.45" x14ac:dyDescent="0.3">
      <c r="A34" s="179" t="s">
        <v>162</v>
      </c>
      <c r="B34" s="180">
        <v>869932.4</v>
      </c>
    </row>
    <row r="35" spans="1:2" ht="14.45" x14ac:dyDescent="0.3">
      <c r="A35" s="179" t="s">
        <v>163</v>
      </c>
      <c r="B35" s="180">
        <v>1870478.41</v>
      </c>
    </row>
    <row r="36" spans="1:2" ht="14.45" x14ac:dyDescent="0.3">
      <c r="A36" s="179" t="s">
        <v>164</v>
      </c>
      <c r="B36" s="180">
        <v>2182923.79</v>
      </c>
    </row>
    <row r="37" spans="1:2" ht="14.45" x14ac:dyDescent="0.3">
      <c r="A37" s="179" t="s">
        <v>165</v>
      </c>
      <c r="B37" s="180">
        <v>354319.45</v>
      </c>
    </row>
    <row r="38" spans="1:2" ht="14.45" x14ac:dyDescent="0.3">
      <c r="A38" s="179" t="s">
        <v>166</v>
      </c>
      <c r="B38" s="180">
        <v>-158407.93</v>
      </c>
    </row>
    <row r="39" spans="1:2" ht="14.45" x14ac:dyDescent="0.3">
      <c r="A39" s="179" t="s">
        <v>167</v>
      </c>
      <c r="B39" s="180">
        <v>-24337.21</v>
      </c>
    </row>
    <row r="40" spans="1:2" ht="14.45" x14ac:dyDescent="0.3">
      <c r="A40" s="179" t="s">
        <v>168</v>
      </c>
      <c r="B40" s="180">
        <v>14688.5</v>
      </c>
    </row>
    <row r="41" spans="1:2" ht="14.45" x14ac:dyDescent="0.3">
      <c r="A41" s="179" t="s">
        <v>169</v>
      </c>
      <c r="B41" s="180">
        <v>25617.26</v>
      </c>
    </row>
    <row r="42" spans="1:2" ht="14.45" x14ac:dyDescent="0.3">
      <c r="A42" s="179" t="s">
        <v>170</v>
      </c>
      <c r="B42" s="180">
        <v>-12155.07</v>
      </c>
    </row>
    <row r="43" spans="1:2" ht="14.45" x14ac:dyDescent="0.3">
      <c r="A43" s="179" t="s">
        <v>171</v>
      </c>
      <c r="B43" s="180">
        <v>419660.25</v>
      </c>
    </row>
    <row r="44" spans="1:2" ht="14.45" x14ac:dyDescent="0.3">
      <c r="A44" s="179" t="s">
        <v>172</v>
      </c>
      <c r="B44" s="180">
        <v>1114.07</v>
      </c>
    </row>
    <row r="45" spans="1:2" ht="14.45" x14ac:dyDescent="0.3">
      <c r="A45" s="179" t="s">
        <v>173</v>
      </c>
      <c r="B45" s="180">
        <v>-13004</v>
      </c>
    </row>
    <row r="46" spans="1:2" ht="14.45" x14ac:dyDescent="0.3">
      <c r="A46" s="179" t="s">
        <v>174</v>
      </c>
      <c r="B46" s="180">
        <v>-170865</v>
      </c>
    </row>
    <row r="47" spans="1:2" ht="14.45" x14ac:dyDescent="0.3">
      <c r="A47" s="179" t="s">
        <v>175</v>
      </c>
      <c r="B47" s="180">
        <v>11906261.529999999</v>
      </c>
    </row>
    <row r="48" spans="1:2" ht="14.45" x14ac:dyDescent="0.3">
      <c r="A48" s="179" t="s">
        <v>176</v>
      </c>
      <c r="B48" s="180">
        <v>5222337.08</v>
      </c>
    </row>
    <row r="49" spans="1:2" ht="14.45" x14ac:dyDescent="0.3">
      <c r="A49" s="179" t="s">
        <v>177</v>
      </c>
      <c r="B49" s="180">
        <v>0</v>
      </c>
    </row>
    <row r="50" spans="1:2" ht="14.45" x14ac:dyDescent="0.3">
      <c r="A50" s="179" t="s">
        <v>178</v>
      </c>
      <c r="B50" s="180">
        <v>-1710595.82</v>
      </c>
    </row>
    <row r="51" spans="1:2" ht="14.45" x14ac:dyDescent="0.3">
      <c r="A51" s="179" t="s">
        <v>179</v>
      </c>
      <c r="B51" s="180">
        <v>-742116.39</v>
      </c>
    </row>
    <row r="52" spans="1:2" ht="14.45" x14ac:dyDescent="0.3">
      <c r="A52" s="179" t="s">
        <v>180</v>
      </c>
      <c r="B52" s="180">
        <v>-305.69</v>
      </c>
    </row>
    <row r="53" spans="1:2" ht="14.45" x14ac:dyDescent="0.3">
      <c r="A53" s="179" t="s">
        <v>181</v>
      </c>
      <c r="B53" s="180">
        <v>443170.13</v>
      </c>
    </row>
    <row r="54" spans="1:2" ht="14.45" x14ac:dyDescent="0.3">
      <c r="A54" s="179" t="s">
        <v>182</v>
      </c>
      <c r="B54" s="180">
        <v>-4185120.37</v>
      </c>
    </row>
    <row r="55" spans="1:2" ht="14.45" x14ac:dyDescent="0.3">
      <c r="A55" s="179" t="s">
        <v>183</v>
      </c>
      <c r="B55" s="180">
        <v>-5018354.0199999996</v>
      </c>
    </row>
    <row r="56" spans="1:2" ht="14.45" x14ac:dyDescent="0.3">
      <c r="A56" s="179" t="s">
        <v>184</v>
      </c>
      <c r="B56" s="180">
        <v>-691221.91</v>
      </c>
    </row>
    <row r="57" spans="1:2" ht="14.45" x14ac:dyDescent="0.3">
      <c r="A57" s="179" t="s">
        <v>185</v>
      </c>
      <c r="B57" s="180">
        <v>-138761.31</v>
      </c>
    </row>
    <row r="58" spans="1:2" ht="14.45" x14ac:dyDescent="0.3">
      <c r="A58" s="179" t="s">
        <v>186</v>
      </c>
      <c r="B58" s="180">
        <v>-670256.02</v>
      </c>
    </row>
    <row r="59" spans="1:2" ht="14.45" x14ac:dyDescent="0.3">
      <c r="A59" s="179" t="s">
        <v>187</v>
      </c>
      <c r="B59" s="180">
        <v>3811459.2</v>
      </c>
    </row>
    <row r="60" spans="1:2" ht="14.45" x14ac:dyDescent="0.3">
      <c r="A60" s="179" t="s">
        <v>188</v>
      </c>
      <c r="B60" s="180">
        <v>-385902.48</v>
      </c>
    </row>
    <row r="61" spans="1:2" ht="14.45" x14ac:dyDescent="0.3">
      <c r="A61" s="179" t="s">
        <v>189</v>
      </c>
      <c r="B61" s="180">
        <v>14517925.1</v>
      </c>
    </row>
    <row r="62" spans="1:2" ht="14.45" x14ac:dyDescent="0.3">
      <c r="A62" s="179" t="s">
        <v>190</v>
      </c>
      <c r="B62" s="180">
        <v>9610423.7100000009</v>
      </c>
    </row>
    <row r="63" spans="1:2" ht="14.45" x14ac:dyDescent="0.3">
      <c r="A63" s="179" t="s">
        <v>191</v>
      </c>
      <c r="B63" s="180">
        <v>-5427347.4500000002</v>
      </c>
    </row>
    <row r="64" spans="1:2" thickBot="1" x14ac:dyDescent="0.35">
      <c r="A64" s="179" t="s">
        <v>192</v>
      </c>
      <c r="B64" s="161">
        <f>SUM(B13:B63)</f>
        <v>21926740.300000001</v>
      </c>
    </row>
    <row r="65" spans="2:2" thickTop="1" x14ac:dyDescent="0.3">
      <c r="B65" s="160"/>
    </row>
    <row r="66" spans="2:2" ht="14.45" x14ac:dyDescent="0.3">
      <c r="B66"/>
    </row>
    <row r="67" spans="2:2" ht="14.45" x14ac:dyDescent="0.3">
      <c r="B67"/>
    </row>
    <row r="68" spans="2:2" ht="14.45" x14ac:dyDescent="0.3">
      <c r="B68"/>
    </row>
    <row r="69" spans="2:2" ht="14.45" x14ac:dyDescent="0.3">
      <c r="B69"/>
    </row>
  </sheetData>
  <pageMargins left="0.7" right="0.7" top="0.75" bottom="0.75" header="0.3" footer="0.3"/>
  <pageSetup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9BEE985E9E72046AD1023F69CC62719" ma:contentTypeVersion="76" ma:contentTypeDescription="" ma:contentTypeScope="" ma:versionID="4c200c49b790e16bfdf64fd8e32983a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a924c8152a3ca6d41f5defb10cfa585"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2018-11-07T08:00:00+00:00</OpenedDate>
    <SignificantOrder xmlns="dc463f71-b30c-4ab2-9473-d307f9d35888">false</SignificantOrder>
    <Date1 xmlns="dc463f71-b30c-4ab2-9473-d307f9d35888">2018-11-13T08:00:00+00:00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180899</DocketNumber>
    <DelegatedOrder xmlns="dc463f71-b30c-4ab2-9473-d307f9d35888">false</DelegatedOrder>
  </documentManagement>
</p:properties>
</file>

<file path=customXml/itemProps1.xml><?xml version="1.0" encoding="utf-8"?>
<ds:datastoreItem xmlns:ds="http://schemas.openxmlformats.org/officeDocument/2006/customXml" ds:itemID="{9CD8EAE4-D3D8-4E69-B2A8-2C27D118B0B9}"/>
</file>

<file path=customXml/itemProps2.xml><?xml version="1.0" encoding="utf-8"?>
<ds:datastoreItem xmlns:ds="http://schemas.openxmlformats.org/officeDocument/2006/customXml" ds:itemID="{7DCB57A3-749C-4D16-9B6E-C69C4DD03C8B}"/>
</file>

<file path=customXml/itemProps3.xml><?xml version="1.0" encoding="utf-8"?>
<ds:datastoreItem xmlns:ds="http://schemas.openxmlformats.org/officeDocument/2006/customXml" ds:itemID="{922FCC63-3EE1-495C-AF71-869056D95ACC}"/>
</file>

<file path=customXml/itemProps4.xml><?xml version="1.0" encoding="utf-8"?>
<ds:datastoreItem xmlns:ds="http://schemas.openxmlformats.org/officeDocument/2006/customXml" ds:itemID="{215DE7D8-9650-4B3E-995C-05978F0BC9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Lead E</vt:lpstr>
      <vt:lpstr>Lead G</vt:lpstr>
      <vt:lpstr>TY Excise Tax</vt:lpstr>
      <vt:lpstr>True-up current period</vt:lpstr>
      <vt:lpstr>True-up prior period</vt:lpstr>
      <vt:lpstr>TY Filing Fee</vt:lpstr>
      <vt:lpstr>E Filing Fee Restated</vt:lpstr>
      <vt:lpstr>G Filing Fee Restated</vt:lpstr>
      <vt:lpstr>Order Group 456</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nchar</dc:creator>
  <cp:lastModifiedBy>NC</cp:lastModifiedBy>
  <cp:lastPrinted>2016-11-29T16:37:28Z</cp:lastPrinted>
  <dcterms:created xsi:type="dcterms:W3CDTF">2016-11-22T00:40:47Z</dcterms:created>
  <dcterms:modified xsi:type="dcterms:W3CDTF">2018-11-05T22:47:12Z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NEW-PSE-WP-SEF-5.17E-6.17G-ExciseTaxFilingFee-Jun18CBR.xlsx</vt:lpwstr>
  </property>
  <property fmtid="{D5CDD505-2E9C-101B-9397-08002B2CF9AE}" pid="3" name="ContentTypeId">
    <vt:lpwstr>0x0101006E56B4D1795A2E4DB2F0B01679ED314A0019BEE985E9E72046AD1023F69CC62719</vt:lpwstr>
  </property>
  <property fmtid="{D5CDD505-2E9C-101B-9397-08002B2CF9AE}" pid="4" name="_docset_NoMedatataSyncRequired">
    <vt:lpwstr>False</vt:lpwstr>
  </property>
  <property fmtid="{D5CDD505-2E9C-101B-9397-08002B2CF9AE}" pid="5" name="IsEFSEC">
    <vt:bool>false</vt:bool>
  </property>
</Properties>
</file>