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customXml/itemProps1.xml" ContentType="application/vnd.openxmlformats-officedocument.customXmlProperties+xml"/>
  <Override PartName="/xl/externalLinks/externalLink1.xml" ContentType="application/vnd.openxmlformats-officedocument.spreadsheetml.externalLink+xml"/>
  <Override PartName="/xl/calcChain.xml" ContentType="application/vnd.openxmlformats-officedocument.spreadsheetml.calcChain+xml"/>
  <Override PartName="/xl/printerSettings/printerSettings4.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omments1.xml" ContentType="application/vnd.openxmlformats-officedocument.spreadsheetml.comments+xml"/>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comments2.xml" ContentType="application/vnd.openxmlformats-officedocument.spreadsheetml.comments+xml"/>
  <Override PartName="/xl/printerSettings/printerSettings1.bin" ContentType="application/vnd.openxmlformats-officedocument.spreadsheetml.printerSettings"/>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Commission Basis Report\Dec_31_22\To File 2022 CBR\"/>
    </mc:Choice>
  </mc:AlternateContent>
  <bookViews>
    <workbookView xWindow="0" yWindow="0" windowWidth="20616" windowHeight="8616" firstSheet="1" activeTab="1"/>
  </bookViews>
  <sheets>
    <sheet name="_com.sap.ip.bi.xl.hiddensheet" sheetId="2" state="veryHidden" r:id="rId1"/>
    <sheet name="Lead E" sheetId="5" r:id="rId2"/>
    <sheet name="Lead G" sheetId="6" r:id="rId3"/>
    <sheet name="Excise Tax " sheetId="3" r:id="rId4"/>
    <sheet name="Filing Fees" sheetId="4" r:id="rId5"/>
    <sheet name="E Filing Fee Restated" sheetId="7" r:id="rId6"/>
    <sheet name="G Filing Fee Restated" sheetId="8" r:id="rId7"/>
    <sheet name="Other Elec Revenue" sheetId="1" r:id="rId8"/>
  </sheets>
  <externalReferences>
    <externalReference r:id="rId9"/>
  </externalReferences>
  <definedNames>
    <definedName name="SAPCrosstab1">'Other Elec Revenue'!$A$1:$E$46</definedName>
    <definedName name="SAPCrosstab2">'Excise Tax '!$A$1:$D$42</definedName>
    <definedName name="SAPCrosstab3">'Filing Fees'!$A$1:$D$29</definedName>
  </definedNames>
  <calcPr calcId="162913" concurrentManualCount="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7" i="7" l="1"/>
  <c r="G42" i="3"/>
  <c r="G27" i="3"/>
  <c r="G23" i="3"/>
  <c r="G22" i="3"/>
  <c r="G21" i="3"/>
  <c r="G20" i="3"/>
  <c r="K20" i="3" s="1"/>
  <c r="G19" i="3"/>
  <c r="G18" i="3"/>
  <c r="G17" i="3"/>
  <c r="G16" i="3"/>
  <c r="G11" i="3"/>
  <c r="G10" i="3"/>
  <c r="G9" i="3"/>
  <c r="G8" i="3"/>
  <c r="K8" i="3" s="1"/>
  <c r="G7" i="3"/>
  <c r="G6" i="3"/>
  <c r="K6" i="3" s="1"/>
  <c r="I6" i="3"/>
  <c r="G5" i="3"/>
  <c r="I5" i="3"/>
  <c r="G4" i="3"/>
  <c r="G3" i="3"/>
  <c r="G46" i="3" s="1"/>
  <c r="G14" i="3"/>
  <c r="G13" i="3"/>
  <c r="G26" i="3"/>
  <c r="G12" i="3"/>
  <c r="G25" i="3"/>
  <c r="G24" i="3"/>
  <c r="F31" i="8"/>
  <c r="F31" i="7"/>
  <c r="C13" i="6"/>
  <c r="C13" i="5"/>
  <c r="A5" i="6"/>
  <c r="A4" i="6"/>
  <c r="I42" i="3"/>
  <c r="H42" i="3"/>
  <c r="I39" i="3"/>
  <c r="H39" i="3"/>
  <c r="I38" i="3"/>
  <c r="H38" i="3"/>
  <c r="I37" i="3"/>
  <c r="H37" i="3"/>
  <c r="I36" i="3"/>
  <c r="H36" i="3"/>
  <c r="I35" i="3"/>
  <c r="H35" i="3"/>
  <c r="I34" i="3"/>
  <c r="H34" i="3"/>
  <c r="I33" i="3"/>
  <c r="H33" i="3"/>
  <c r="I32" i="3"/>
  <c r="H32" i="3"/>
  <c r="I31" i="3"/>
  <c r="H31" i="3"/>
  <c r="I30" i="3"/>
  <c r="H30" i="3"/>
  <c r="I29" i="3"/>
  <c r="H29" i="3"/>
  <c r="H27" i="3"/>
  <c r="I26" i="3"/>
  <c r="H26" i="3"/>
  <c r="I25" i="3"/>
  <c r="H25" i="3"/>
  <c r="I24" i="3"/>
  <c r="H24" i="3"/>
  <c r="I23" i="3"/>
  <c r="H23" i="3"/>
  <c r="I22" i="3"/>
  <c r="H22" i="3"/>
  <c r="I21" i="3"/>
  <c r="K21" i="3" s="1"/>
  <c r="H21" i="3"/>
  <c r="I20" i="3"/>
  <c r="H20" i="3"/>
  <c r="I19" i="3"/>
  <c r="H19" i="3"/>
  <c r="I18" i="3"/>
  <c r="H18" i="3"/>
  <c r="I17" i="3"/>
  <c r="K17" i="3" s="1"/>
  <c r="H17" i="3"/>
  <c r="I16" i="3"/>
  <c r="H16" i="3"/>
  <c r="I14" i="3"/>
  <c r="I13" i="3"/>
  <c r="H13" i="3"/>
  <c r="I12" i="3"/>
  <c r="I11" i="3"/>
  <c r="K11" i="3" s="1"/>
  <c r="H11" i="3"/>
  <c r="I10" i="3"/>
  <c r="H10" i="3"/>
  <c r="I9" i="3"/>
  <c r="H9" i="3"/>
  <c r="I8" i="3"/>
  <c r="H8" i="3"/>
  <c r="I7" i="3"/>
  <c r="I4" i="3"/>
  <c r="H4" i="3"/>
  <c r="F42" i="3"/>
  <c r="F27" i="3"/>
  <c r="F26" i="3"/>
  <c r="F25" i="3"/>
  <c r="F24" i="3"/>
  <c r="J24" i="3" s="1"/>
  <c r="F23" i="3"/>
  <c r="F22" i="3"/>
  <c r="F21" i="3"/>
  <c r="F20" i="3"/>
  <c r="J20" i="3" s="1"/>
  <c r="F19" i="3"/>
  <c r="F18" i="3"/>
  <c r="F17" i="3"/>
  <c r="F16" i="3"/>
  <c r="J16" i="3" s="1"/>
  <c r="F14" i="3"/>
  <c r="F13" i="3"/>
  <c r="F12" i="3"/>
  <c r="H12" i="3"/>
  <c r="J12" i="3" s="1"/>
  <c r="F11" i="3"/>
  <c r="F10" i="3"/>
  <c r="F9" i="3"/>
  <c r="F8" i="3"/>
  <c r="J8" i="3" s="1"/>
  <c r="F7" i="3"/>
  <c r="F6" i="3"/>
  <c r="H6" i="3"/>
  <c r="F5" i="3"/>
  <c r="H5" i="3"/>
  <c r="F4" i="3"/>
  <c r="F3" i="3"/>
  <c r="H7" i="3"/>
  <c r="H46" i="3" s="1"/>
  <c r="J11" i="3"/>
  <c r="K5" i="3"/>
  <c r="H47" i="3"/>
  <c r="K18" i="3"/>
  <c r="K13" i="3"/>
  <c r="J6" i="3"/>
  <c r="J27" i="3"/>
  <c r="J42" i="3"/>
  <c r="J3" i="3"/>
  <c r="J9" i="3"/>
  <c r="K25" i="3"/>
  <c r="J14" i="3"/>
  <c r="J23" i="3"/>
  <c r="K27" i="3"/>
  <c r="K23" i="3"/>
  <c r="K26" i="3"/>
  <c r="K7" i="3"/>
  <c r="K14" i="3"/>
  <c r="K4" i="3"/>
  <c r="J10" i="3"/>
  <c r="J13" i="3"/>
  <c r="J4" i="3"/>
  <c r="J25" i="3"/>
  <c r="K22" i="3"/>
  <c r="K19" i="3"/>
  <c r="K24" i="3"/>
  <c r="J19" i="3"/>
  <c r="J26" i="3"/>
  <c r="K42" i="3"/>
  <c r="K12" i="3"/>
  <c r="J21" i="3"/>
  <c r="J22" i="3"/>
  <c r="I47" i="3"/>
  <c r="K10" i="3"/>
  <c r="J5" i="3"/>
  <c r="F46" i="3"/>
  <c r="K16" i="3"/>
  <c r="K9" i="3"/>
  <c r="J18" i="3"/>
  <c r="J17" i="3"/>
  <c r="N5" i="3"/>
  <c r="N4" i="3"/>
  <c r="F38" i="3" s="1"/>
  <c r="J38" i="3" s="1"/>
  <c r="I40" i="3"/>
  <c r="I48" i="3" s="1"/>
  <c r="G38" i="3"/>
  <c r="K38" i="3"/>
  <c r="G30" i="3"/>
  <c r="K30" i="3" s="1"/>
  <c r="G36" i="3"/>
  <c r="K36" i="3"/>
  <c r="G37" i="3"/>
  <c r="K37" i="3" s="1"/>
  <c r="G34" i="3"/>
  <c r="K34" i="3"/>
  <c r="G32" i="3"/>
  <c r="K32" i="3" s="1"/>
  <c r="G39" i="3"/>
  <c r="K39" i="3"/>
  <c r="G35" i="3"/>
  <c r="K35" i="3" s="1"/>
  <c r="G31" i="3"/>
  <c r="K31" i="3"/>
  <c r="G29" i="3"/>
  <c r="K29" i="3" s="1"/>
  <c r="K48" i="3" s="1"/>
  <c r="G33" i="3"/>
  <c r="K33" i="3"/>
  <c r="G40" i="3"/>
  <c r="K40" i="3" s="1"/>
  <c r="F39" i="3"/>
  <c r="J39" i="3"/>
  <c r="F36" i="3"/>
  <c r="J36" i="3"/>
  <c r="F29" i="3"/>
  <c r="F35" i="3"/>
  <c r="J35" i="3" s="1"/>
  <c r="E44" i="7"/>
  <c r="E45" i="7"/>
  <c r="E48" i="7" s="1"/>
  <c r="F18" i="7" s="1"/>
  <c r="G48" i="3"/>
  <c r="E46" i="7"/>
  <c r="D12" i="7"/>
  <c r="F17" i="7"/>
  <c r="F19" i="7" s="1"/>
  <c r="D12" i="8"/>
  <c r="F17" i="8"/>
  <c r="F19" i="8"/>
  <c r="D24" i="8" s="1"/>
  <c r="F21" i="8"/>
  <c r="D22" i="8"/>
  <c r="F22" i="8"/>
  <c r="D26" i="8" l="1"/>
  <c r="F26" i="8" s="1"/>
  <c r="D25" i="8"/>
  <c r="F25" i="8" s="1"/>
  <c r="H48" i="3"/>
  <c r="H49" i="3" s="1"/>
  <c r="D24" i="7"/>
  <c r="D22" i="7"/>
  <c r="F22" i="7" s="1"/>
  <c r="F21" i="7"/>
  <c r="K47" i="3"/>
  <c r="J47" i="3"/>
  <c r="J29" i="3"/>
  <c r="J48" i="3" s="1"/>
  <c r="F37" i="3"/>
  <c r="J37" i="3" s="1"/>
  <c r="G47" i="3"/>
  <c r="G49" i="3" s="1"/>
  <c r="C12" i="6" s="1"/>
  <c r="C14" i="6" s="1"/>
  <c r="F33" i="3"/>
  <c r="J33" i="3" s="1"/>
  <c r="F31" i="3"/>
  <c r="J31" i="3" s="1"/>
  <c r="H40" i="3"/>
  <c r="F47" i="3"/>
  <c r="F40" i="3"/>
  <c r="J40" i="3" s="1"/>
  <c r="J7" i="3"/>
  <c r="J46" i="3" s="1"/>
  <c r="J49" i="3" s="1"/>
  <c r="D12" i="5" s="1"/>
  <c r="I3" i="3"/>
  <c r="I46" i="3" s="1"/>
  <c r="I49" i="3" s="1"/>
  <c r="F32" i="3"/>
  <c r="J32" i="3" s="1"/>
  <c r="F30" i="3"/>
  <c r="J30" i="3" s="1"/>
  <c r="F34" i="3"/>
  <c r="J34" i="3" s="1"/>
  <c r="D25" i="7" l="1"/>
  <c r="F25" i="7" s="1"/>
  <c r="K3" i="3"/>
  <c r="K46" i="3" s="1"/>
  <c r="K49" i="3" s="1"/>
  <c r="D12" i="6" s="1"/>
  <c r="F48" i="3"/>
  <c r="F49" i="3" s="1"/>
  <c r="C12" i="5" s="1"/>
  <c r="F27" i="8"/>
  <c r="C14" i="5" l="1"/>
  <c r="E12" i="5"/>
  <c r="F34" i="8"/>
  <c r="F35" i="8" s="1"/>
  <c r="F38" i="8" s="1"/>
  <c r="D13" i="6" s="1"/>
  <c r="E12" i="6"/>
  <c r="D26" i="7"/>
  <c r="F26" i="7" s="1"/>
  <c r="F27" i="7" s="1"/>
  <c r="F34" i="7" l="1"/>
  <c r="F35" i="7" s="1"/>
  <c r="F38" i="7" s="1"/>
  <c r="D13" i="5" s="1"/>
  <c r="E13" i="6"/>
  <c r="D14" i="6"/>
  <c r="E14" i="6"/>
  <c r="E16" i="6" s="1"/>
  <c r="E13" i="5" l="1"/>
  <c r="E14" i="5" s="1"/>
  <c r="E16" i="5" s="1"/>
  <c r="D14" i="5"/>
  <c r="E17" i="6"/>
  <c r="E18" i="6" s="1"/>
  <c r="E17" i="5" l="1"/>
  <c r="E18" i="5" s="1"/>
</calcChain>
</file>

<file path=xl/comments1.xml><?xml version="1.0" encoding="utf-8"?>
<comments xmlns="http://schemas.openxmlformats.org/spreadsheetml/2006/main">
  <authors>
    <author>Pham, Linh</author>
  </authors>
  <commentList>
    <comment ref="E26" authorId="0" shapeId="0">
      <text>
        <r>
          <rPr>
            <b/>
            <sz val="9"/>
            <color indexed="81"/>
            <rFont val="Tahoma"/>
            <family val="2"/>
          </rPr>
          <t>Pham, Linh:</t>
        </r>
        <r>
          <rPr>
            <sz val="9"/>
            <color indexed="81"/>
            <rFont val="Tahoma"/>
            <family val="2"/>
          </rPr>
          <t xml:space="preserve">
Senate Bill 5634, efftv June 9 2022</t>
        </r>
      </text>
    </comment>
  </commentList>
</comments>
</file>

<file path=xl/comments2.xml><?xml version="1.0" encoding="utf-8"?>
<comments xmlns="http://schemas.openxmlformats.org/spreadsheetml/2006/main">
  <authors>
    <author>Pham, Linh</author>
  </authors>
  <commentList>
    <comment ref="E26" authorId="0" shapeId="0">
      <text>
        <r>
          <rPr>
            <b/>
            <sz val="9"/>
            <color indexed="81"/>
            <rFont val="Tahoma"/>
            <family val="2"/>
          </rPr>
          <t>Pham, Linh:</t>
        </r>
        <r>
          <rPr>
            <sz val="9"/>
            <color indexed="81"/>
            <rFont val="Tahoma"/>
            <family val="2"/>
          </rPr>
          <t xml:space="preserve">
Senate Bill 5634, efftv June 9 2022</t>
        </r>
      </text>
    </comment>
  </commentList>
</comments>
</file>

<file path=xl/sharedStrings.xml><?xml version="1.0" encoding="utf-8"?>
<sst xmlns="http://schemas.openxmlformats.org/spreadsheetml/2006/main" count="466" uniqueCount="232">
  <si>
    <t>Reg Account</t>
  </si>
  <si>
    <t>CO Order</t>
  </si>
  <si>
    <t>$</t>
  </si>
  <si>
    <t>Oth Electr Revenues</t>
  </si>
  <si>
    <t>PSE/9456020</t>
  </si>
  <si>
    <t>45600073</t>
  </si>
  <si>
    <t>3545 - Green Energy Option</t>
  </si>
  <si>
    <t>45600077</t>
  </si>
  <si>
    <t>3515- Other Revenue- Wireless</t>
  </si>
  <si>
    <t>45600078</t>
  </si>
  <si>
    <t>Other Elect Revenue-Maintenance Contract</t>
  </si>
  <si>
    <t>45600080</t>
  </si>
  <si>
    <t>Othr Elect Rev - Sale of Non-Core Gas</t>
  </si>
  <si>
    <t>45600081</t>
  </si>
  <si>
    <t>Othr Elect Rev - Cost Non-Core Gas sold</t>
  </si>
  <si>
    <t>45600082</t>
  </si>
  <si>
    <t>Oth Elec Rev- Cedar Hills Facility Fee</t>
  </si>
  <si>
    <t>45600089</t>
  </si>
  <si>
    <t>1143 - REC Revenue per Tariff Schedule-E</t>
  </si>
  <si>
    <t>45600102</t>
  </si>
  <si>
    <t>E Decoup Rev Sch 8 &amp; 24</t>
  </si>
  <si>
    <t>45600103</t>
  </si>
  <si>
    <t>E Decoup Rev Sch 7A, 11, 25, 29, 35 &amp; 43</t>
  </si>
  <si>
    <t>45600104</t>
  </si>
  <si>
    <t>E Decoup Rev Sch 40</t>
  </si>
  <si>
    <t>45600105</t>
  </si>
  <si>
    <t>E Decoup Rev Sch 7 FPC</t>
  </si>
  <si>
    <t>45600106</t>
  </si>
  <si>
    <t>E Decoup Rev Sch 8 &amp; 24 FPC</t>
  </si>
  <si>
    <t>45600107</t>
  </si>
  <si>
    <t>E Dcp Rev Sc 7A, 11, 25, 29, 35 &amp; 43 FPC</t>
  </si>
  <si>
    <t>45600109</t>
  </si>
  <si>
    <t>E Decoup Rev Sch 12 &amp; 26 FPC</t>
  </si>
  <si>
    <t>45600110</t>
  </si>
  <si>
    <t>E Decoup Rev Sch 10 &amp; 31 FPC</t>
  </si>
  <si>
    <t>45600139</t>
  </si>
  <si>
    <t>E Decoup Amort of Sch 142 - Sch 8 &amp; 24</t>
  </si>
  <si>
    <t>45600141</t>
  </si>
  <si>
    <t>E Dcp Amort Sch 142-Sc 7A,11,25,29,35,43</t>
  </si>
  <si>
    <t>45600142</t>
  </si>
  <si>
    <t>E Decoup Amort of Sch 142 - Sch 40 in Ra</t>
  </si>
  <si>
    <t>45600143</t>
  </si>
  <si>
    <t>E FPC Decoup Amort Sch 142  - Sch 7 in R</t>
  </si>
  <si>
    <t>45600144</t>
  </si>
  <si>
    <t>E FPC Decoup Amort Sch 142 - Sch 8 &amp; 24</t>
  </si>
  <si>
    <t>45600145</t>
  </si>
  <si>
    <t>E FPC Dcp Amrt Sc 142-7A,11,25,29,35,43</t>
  </si>
  <si>
    <t>45600146</t>
  </si>
  <si>
    <t>E FPC Decoup Amort Sch 142 - Sch 40 in R</t>
  </si>
  <si>
    <t>45600147</t>
  </si>
  <si>
    <t>E FPC Decoup Amort Sch 142 - Sch 12 &amp; 26</t>
  </si>
  <si>
    <t>45600148</t>
  </si>
  <si>
    <t>E FPC Decoup Amort Sch 142 - Sch 10 &amp; 31</t>
  </si>
  <si>
    <t>45600154</t>
  </si>
  <si>
    <t>24M GAAP - E Non-Res Sch 40</t>
  </si>
  <si>
    <t>45600155</t>
  </si>
  <si>
    <t>AMI Return Deferral - Electric</t>
  </si>
  <si>
    <t>45600156</t>
  </si>
  <si>
    <t>45600321</t>
  </si>
  <si>
    <t>9900-Electric Residential Decoupling Rev</t>
  </si>
  <si>
    <t>45600325</t>
  </si>
  <si>
    <t>Electric Schedule 26 Decoupling Revenue</t>
  </si>
  <si>
    <t>45600326</t>
  </si>
  <si>
    <t>Electric Schedule 31 Decoupling Revenue</t>
  </si>
  <si>
    <t>45600329</t>
  </si>
  <si>
    <t>9900 - Other Elec Rev - QRE Annual Fees</t>
  </si>
  <si>
    <t>45600335</t>
  </si>
  <si>
    <t>Amort of Sch 142 Electric Sch26 in Rates</t>
  </si>
  <si>
    <t>45600336</t>
  </si>
  <si>
    <t>Amort of Sch 142 Electric Sch31 in Rates</t>
  </si>
  <si>
    <t>45600351</t>
  </si>
  <si>
    <t>9900-Lifetime O&amp;M Revenue - Elec</t>
  </si>
  <si>
    <t>45600361</t>
  </si>
  <si>
    <t>9900-Amort of Sch 142 Elec Resid in rate</t>
  </si>
  <si>
    <t>Fiscal year/period</t>
  </si>
  <si>
    <t>40810002</t>
  </si>
  <si>
    <t>State Excise Taxes</t>
  </si>
  <si>
    <t>40810302</t>
  </si>
  <si>
    <t>40810602</t>
  </si>
  <si>
    <t>Excise Taxes</t>
  </si>
  <si>
    <t>92800010</t>
  </si>
  <si>
    <t>1180 - WUTC Filing Fees - Electric</t>
  </si>
  <si>
    <t>92800310</t>
  </si>
  <si>
    <t>1180 - WUTC Filing Fees - Gas</t>
  </si>
  <si>
    <t>Test Year</t>
  </si>
  <si>
    <t>Restated</t>
  </si>
  <si>
    <t>Electric</t>
  </si>
  <si>
    <t>Reason for</t>
  </si>
  <si>
    <t>Gas</t>
  </si>
  <si>
    <t>Adjustment</t>
  </si>
  <si>
    <t xml:space="preserve">Electric </t>
  </si>
  <si>
    <t>Restating Adjustments</t>
  </si>
  <si>
    <t>Allocation Factors:</t>
  </si>
  <si>
    <t>Grand Total Excise Tax</t>
  </si>
  <si>
    <t>Total Electric Only Excise Taxes</t>
  </si>
  <si>
    <t>Total Gas Only Excise Taxes</t>
  </si>
  <si>
    <t>Total Common Allocated To Elec and Gas</t>
  </si>
  <si>
    <t>Result</t>
  </si>
  <si>
    <t>Overall Result</t>
  </si>
  <si>
    <t>Ref 3.09E</t>
  </si>
  <si>
    <t>PUGET SOUND ENERGY-ELECTRIC</t>
  </si>
  <si>
    <t>WUTC FILING FEE &amp; EXCISE TAX</t>
  </si>
  <si>
    <t>LINE</t>
  </si>
  <si>
    <t>NO.</t>
  </si>
  <si>
    <t>DESCRIPTION</t>
  </si>
  <si>
    <t>TEST YEAR</t>
  </si>
  <si>
    <t>RESTATED</t>
  </si>
  <si>
    <t>ADJUSTMENT</t>
  </si>
  <si>
    <t>EXCISE TAXES</t>
  </si>
  <si>
    <t>WUTC FILING FEE</t>
  </si>
  <si>
    <t>INCREASE(DECREASE) EXCISE AND WUTC FILING FEE</t>
  </si>
  <si>
    <t xml:space="preserve">INCREASE(DECREASE) OPERATING EXPENSE </t>
  </si>
  <si>
    <t>INCREASE(DECREASE) FIT @</t>
  </si>
  <si>
    <t>INCREASE(DECREASE) NOI</t>
  </si>
  <si>
    <t>Ref 3.09G</t>
  </si>
  <si>
    <t>PUGET SOUND ENERGY-GAS</t>
  </si>
  <si>
    <t>WASHINGTON UTILITIES AND TRANSPORTATION COMMISSION</t>
  </si>
  <si>
    <t>INVESTOR OWNED ELECTRICAL UTILITY REGULATORY FEE SCHEDULE 1</t>
  </si>
  <si>
    <t>Company:  Puget Sound Energy</t>
  </si>
  <si>
    <t xml:space="preserve">In accordance with RCW 80.24.010 "Regulatory Fees", the Commission requires Electric companies to file reports of gross intrastate operating revenue and pay fees on that revenue.  Every company subject </t>
  </si>
  <si>
    <t xml:space="preserve">to regulation shall file with the Commission a statement under oath showing its gross intrastate operating revenue from operations for the preceding year and pay to the Commission a fee as instructed below. </t>
  </si>
  <si>
    <t xml:space="preserve">WAC 480-100-252 (2) requires that each utility must also submit to this commission, in essentially the same format and content as the FERC Form No. 1, a report that documents the costs incurred and the </t>
  </si>
  <si>
    <t xml:space="preserve">property necessary to furnish utility service to its customers and the revenues obtained in the state of Washington. Data entry by the Company, as instructed by Schedule 1 below, is restricted to Lines </t>
  </si>
  <si>
    <t>1.a, 1.b, 1.c, 1.d, 1.e, 6.a and 7.a (highlighted in blue) and Schedule 2, Columns A, B and C (separate worksheet).  When completed, the Company must file both Reg. Fee Schedule 1 and Schedule 2.</t>
  </si>
  <si>
    <t>Ln</t>
  </si>
  <si>
    <t>1.a</t>
  </si>
  <si>
    <t>Total Sales to Ultimate Customers (from WA State Electrical Annual Report, FERC Form 1, Page 300, Line 10) *</t>
  </si>
  <si>
    <t>1.b</t>
  </si>
  <si>
    <t>Check the box to the right if amount on Line 1 above includes unbilled revenue for this annual report year</t>
  </si>
  <si>
    <t>X</t>
  </si>
  <si>
    <t>1.c</t>
  </si>
  <si>
    <t>Check the box to the right if amount on Line 1 above does not include unbilled revenue for this annual report year</t>
  </si>
  <si>
    <t>1.d</t>
  </si>
  <si>
    <r>
      <t xml:space="preserve">     If box in 1.c has been checked, enter unbilled revenue amount  for </t>
    </r>
    <r>
      <rPr>
        <b/>
        <u/>
        <sz val="11"/>
        <color theme="1"/>
        <rFont val="Calibri"/>
        <family val="2"/>
      </rPr>
      <t>this annual report year</t>
    </r>
  </si>
  <si>
    <t>1.e</t>
  </si>
  <si>
    <r>
      <t xml:space="preserve">     If box in 1.c has been checked, enter unbilled revenue amount  for the </t>
    </r>
    <r>
      <rPr>
        <b/>
        <u/>
        <sz val="11"/>
        <color theme="1"/>
        <rFont val="Calibri"/>
        <family val="2"/>
      </rPr>
      <t>last annual report year**</t>
    </r>
  </si>
  <si>
    <t xml:space="preserve">Add lines 1.a and 1.e and enter total </t>
  </si>
  <si>
    <t>.</t>
  </si>
  <si>
    <t>Enter total from Schedule 2</t>
  </si>
  <si>
    <t>(see components of below)</t>
  </si>
  <si>
    <t>Total Gross Intrastate Operating Revenue (add Lines 1 and 2)</t>
  </si>
  <si>
    <t>Regulatory Fee Calculations:</t>
  </si>
  <si>
    <t>4.a</t>
  </si>
  <si>
    <r>
      <t xml:space="preserve">If line 3 is </t>
    </r>
    <r>
      <rPr>
        <b/>
        <sz val="11"/>
        <color theme="1"/>
        <rFont val="Calibri"/>
        <family val="2"/>
        <scheme val="minor"/>
      </rPr>
      <t>UNDER</t>
    </r>
    <r>
      <rPr>
        <sz val="9"/>
        <color theme="1"/>
        <rFont val="Times New Roman"/>
        <family val="2"/>
      </rPr>
      <t xml:space="preserve"> $20,000, Enter </t>
    </r>
    <r>
      <rPr>
        <b/>
        <sz val="11"/>
        <color theme="1"/>
        <rFont val="Calibri"/>
        <family val="2"/>
        <scheme val="minor"/>
      </rPr>
      <t>ZERO</t>
    </r>
    <r>
      <rPr>
        <sz val="9"/>
        <color theme="1"/>
        <rFont val="Times New Roman"/>
        <family val="2"/>
      </rPr>
      <t xml:space="preserve"> (Filing </t>
    </r>
    <r>
      <rPr>
        <b/>
        <sz val="11"/>
        <color theme="1"/>
        <rFont val="Calibri"/>
        <family val="2"/>
      </rPr>
      <t>ZERO</t>
    </r>
    <r>
      <rPr>
        <sz val="9"/>
        <color theme="1"/>
        <rFont val="Times New Roman"/>
        <family val="2"/>
      </rPr>
      <t xml:space="preserve"> indicates schedule is complete)</t>
    </r>
  </si>
  <si>
    <t>4a</t>
  </si>
  <si>
    <t>4.b</t>
  </si>
  <si>
    <r>
      <t xml:space="preserve">If line 3 is </t>
    </r>
    <r>
      <rPr>
        <b/>
        <sz val="11"/>
        <color theme="1"/>
        <rFont val="Calibri"/>
        <family val="2"/>
      </rPr>
      <t>BETWEEN</t>
    </r>
    <r>
      <rPr>
        <sz val="9"/>
        <color theme="1"/>
        <rFont val="Times New Roman"/>
        <family val="2"/>
      </rPr>
      <t xml:space="preserve"> $20,000 and $50,000-enter amount from line 3</t>
    </r>
  </si>
  <si>
    <t>4b</t>
  </si>
  <si>
    <t>x .001 (.1%)      =</t>
  </si>
  <si>
    <r>
      <t xml:space="preserve">(Filing </t>
    </r>
    <r>
      <rPr>
        <b/>
        <sz val="11"/>
        <color theme="1"/>
        <rFont val="Calibri"/>
        <family val="2"/>
      </rPr>
      <t>BETWEEN</t>
    </r>
    <r>
      <rPr>
        <sz val="9"/>
        <color theme="1"/>
        <rFont val="Times New Roman"/>
        <family val="2"/>
      </rPr>
      <t xml:space="preserve"> $20,000 and $50,000 indicates schedule is complete.  If filing after May 1st go to Line 6)</t>
    </r>
  </si>
  <si>
    <t>4.c</t>
  </si>
  <si>
    <r>
      <t xml:space="preserve">If line 3 is </t>
    </r>
    <r>
      <rPr>
        <b/>
        <sz val="11"/>
        <color theme="1"/>
        <rFont val="Calibri"/>
        <family val="2"/>
      </rPr>
      <t>OVER</t>
    </r>
    <r>
      <rPr>
        <sz val="9"/>
        <color theme="1"/>
        <rFont val="Times New Roman"/>
        <family val="2"/>
      </rPr>
      <t xml:space="preserve"> $50,000-enter amount from line 3</t>
    </r>
  </si>
  <si>
    <t>4c</t>
  </si>
  <si>
    <t>4.d</t>
  </si>
  <si>
    <r>
      <rPr>
        <b/>
        <sz val="11"/>
        <color theme="1"/>
        <rFont val="Calibri"/>
        <family val="2"/>
      </rPr>
      <t>First</t>
    </r>
    <r>
      <rPr>
        <sz val="9"/>
        <color theme="1"/>
        <rFont val="Times New Roman"/>
        <family val="2"/>
      </rPr>
      <t xml:space="preserve"> $50,000 is subject to .1% regulatory fee</t>
    </r>
  </si>
  <si>
    <t>4d</t>
  </si>
  <si>
    <t>4.e</t>
  </si>
  <si>
    <t>Adjustment of Gross Intrastate Operating Revenue (subtract Line 4d from 4c)</t>
  </si>
  <si>
    <t>4e</t>
  </si>
  <si>
    <t>Total Regulatory Fees owed (enter line 4b, or add 4d and 4e)</t>
  </si>
  <si>
    <t>Agency Use Only</t>
  </si>
  <si>
    <t>001-111-02-68-140-01</t>
  </si>
  <si>
    <t>Complete Lines 6 through 9 if filing after May 2</t>
  </si>
  <si>
    <t>Penalties on Regulatory Fees filed after May 2</t>
  </si>
  <si>
    <t>6.a</t>
  </si>
  <si>
    <t>Total Penalties on Regulatory Fees owed - enter amount from line 5</t>
  </si>
  <si>
    <t>6a</t>
  </si>
  <si>
    <t>x .02 (2 %)        =</t>
  </si>
  <si>
    <t>Interest on Regulatory Fees filed after May 31</t>
  </si>
  <si>
    <t>7.a</t>
  </si>
  <si>
    <t>Number of months past May 31</t>
  </si>
  <si>
    <t>7.b</t>
  </si>
  <si>
    <t>Amount from line 5 __________________ x Number of months past May 31 _________ x .01 (1%) =</t>
  </si>
  <si>
    <t>Total Penalties and Interest owed (add lines 6.a and 7.b)</t>
  </si>
  <si>
    <t>001-111-02-68-140-11</t>
  </si>
  <si>
    <t>Total Regulatory, Penalty and Interest Fees Due (add lines 5 and 8)</t>
  </si>
  <si>
    <t>*</t>
  </si>
  <si>
    <t xml:space="preserve">The total of the following FERC Operating Revenue Accounts: 440 - Residential Sales, 442 - Commercial and Industrial Sales, 444 - Public Street and Highway Lighting, 445 - Other Sales to Public Authorities, 446 - Sales to Railroads and Railways and 448- Interdepartmental Sales. </t>
  </si>
  <si>
    <t>**</t>
  </si>
  <si>
    <t>Unbilled revenues not included in the previous year's annual report must be included in this year's report for calculation of the Commission's regulatory fee. The amount must be the same as Line 1.d in the previous year's annual report.</t>
  </si>
  <si>
    <t>Components of Line 2 "Other Operating Revenue"</t>
  </si>
  <si>
    <t xml:space="preserve">          (5) 450 - Forfeited Discounts</t>
  </si>
  <si>
    <t xml:space="preserve">          (5) 451 - Electric Misc Service Revenue</t>
  </si>
  <si>
    <t xml:space="preserve">          (5) 454 - Rent For Electric Property</t>
  </si>
  <si>
    <t>INVESTOR OWNED GAS UTILITY REGULATORY FEE CALCULATION SCHEDULE 1</t>
  </si>
  <si>
    <t xml:space="preserve">In accordance with RCW 80.24.010 "Regulatory Fees", the Commission requires Gas companies to file reports of gross intrastate operating revenue and pay fees on that revenue.  Every company subject to </t>
  </si>
  <si>
    <t xml:space="preserve">regulation shall file with the Commission a statement under oath showing its gross intrastate operating revenue from operations for the preceding year and pay to the Commission a fee as instructed below. </t>
  </si>
  <si>
    <t xml:space="preserve">WAC 480-90-252 (2) requires that each utility must also submit to this commission, in essentially the same format and content as the FERC Form No. 2, a report that documents the costs incurred and the property </t>
  </si>
  <si>
    <t>1.a, 1.b, 1.c, 1.d, 1.e, 6.a and 7.a (highlighted in blue below) and Schedule 2, Columns A, B and C (separate worksheet). When completed, the Company must file both Reg. Fee Schedule 1 and Schedule 2.</t>
  </si>
  <si>
    <t>Total Sales to Ultimate Customers (from WA State Gas Annual Report, FERC Form 2, Page 300, Line 21, Column (h)) *</t>
  </si>
  <si>
    <t>Enter total from Schedule 2; Non-Fee Paying Revenue</t>
  </si>
  <si>
    <t>Total Regulatory, Penalty and Interest Fees Due (add lines 4b, 5 and 8)</t>
  </si>
  <si>
    <t>The total of the following FERC Gas Operating Revenue Accounts: 480 Residential Sales, 481 Commercial and Industrial Sales, 482 Other Sales to Public Authorities, 483 Sales for Resale, 484 Interdepartmental Sales, 485 lntracompany Transfers, 487 Forfeited Discounts, 488 Miscellaneous Service Revenues, 489.1 Revenues from Transportation of Gas of Others Through Gathering Facilities, 489.2 Revenues from Transportation of Gas of Others Through Transmission Facilities, 489.3 Revenues from Transportation of Gas of Others Through Distribution Facilities, 489.4 Revenues from Storing Gas of Others, 490 Sales of Prod. Ext. from Natural Gas, 491 Revenues from Natural Gas Proc. by Others, 492 Incidental Gasoline and Oil Sales, 493 Rent from Gas Property, 494 Interdepartmental Rents, 495 Other Gas Revenues and 496 (Less) Provision for Rate Refunds.</t>
  </si>
  <si>
    <t>45600138</t>
  </si>
  <si>
    <t>Sch 139 Green Direct LD Amort UE-200865</t>
  </si>
  <si>
    <t>45600152</t>
  </si>
  <si>
    <t>24M GAAP-E Non-Res 7A, 11, 25, 29, 35&amp;43</t>
  </si>
  <si>
    <t>45600094</t>
  </si>
  <si>
    <t>PLR EDIT Electric Other Op Rev</t>
  </si>
  <si>
    <t>EV Sch 551/552 ROI Deferral</t>
  </si>
  <si>
    <t>45600157</t>
  </si>
  <si>
    <t>EV Other Rev Sch. 551/552 Deferral</t>
  </si>
  <si>
    <t>FERC Amount</t>
  </si>
  <si>
    <t xml:space="preserve">               Grand Total Other Operating Revenue on Line 2 Above</t>
  </si>
  <si>
    <t>FOR THE TWELVE MONTHS ENDED DEC 31, 2022</t>
  </si>
  <si>
    <t>DECEMBER 2022 CBR</t>
  </si>
  <si>
    <t/>
  </si>
  <si>
    <t>45600074</t>
  </si>
  <si>
    <t>Othr Elect Rev -Steam sale- Phillips 66</t>
  </si>
  <si>
    <t>45600095</t>
  </si>
  <si>
    <t>Meter Monitoring Fee</t>
  </si>
  <si>
    <t>45600158</t>
  </si>
  <si>
    <t>Community Solar IE Shares</t>
  </si>
  <si>
    <t>45600201</t>
  </si>
  <si>
    <t>EV One time Incentive Credit</t>
  </si>
  <si>
    <t>K1/001/2022</t>
  </si>
  <si>
    <t>K1/002/2022</t>
  </si>
  <si>
    <t>K1/003/2022</t>
  </si>
  <si>
    <t>K1/004/2022</t>
  </si>
  <si>
    <t>K1/005/2022</t>
  </si>
  <si>
    <t>K1/006/2022</t>
  </si>
  <si>
    <t>K1/007/2022</t>
  </si>
  <si>
    <t>K1/008/2022</t>
  </si>
  <si>
    <t>K1/009/2022</t>
  </si>
  <si>
    <t>K1/010/2022</t>
  </si>
  <si>
    <t>K1/011/2022</t>
  </si>
  <si>
    <t>K1/012/2022</t>
  </si>
  <si>
    <t>tie to CBR I/S</t>
  </si>
  <si>
    <t xml:space="preserve">x .004 (.4%) = </t>
  </si>
  <si>
    <t xml:space="preserve">1.  Remove True-ups related to Dec 2021 (reported in Jan 2022) </t>
  </si>
  <si>
    <t>2.  Add True-ups related to December 2022 (reported in January 2023)</t>
  </si>
  <si>
    <t xml:space="preserve">          (5) 456 - Other Electric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</si>
</sst>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
    <numFmt numFmtId="165" formatCode="_(* #,##0_);_(* \(#,##0\);_(* &quot;-&quot;??_);_(@_)"/>
    <numFmt numFmtId="166" formatCode="_(* #,##0.000_);_(* \(#,##0.000\);_(* &quot;-&quot;??_);_(@_)"/>
    <numFmt numFmtId="167" formatCode="_(&quot;$&quot;* #,##0_);_(&quot;$&quot;* \(#,##0\);_(&quot;$&quot;* &quot;-&quot;??_);_(@_)"/>
    <numFmt numFmtId="168" formatCode="#,##0_);[Red]\(#,##0\);&quot; &quot;"/>
    <numFmt numFmtId="169" formatCode="#,##0.00;\-#,##0.00;#,##0.00"/>
  </numFmts>
  <fonts count="49" x14ac:knownFonts="1">
    <font>
      <sz val="9"/>
      <color theme="1"/>
      <name val="Times New Roman"/>
      <family val="2"/>
    </font>
    <font>
      <sz val="11"/>
      <color theme="1"/>
      <name val="Calibri"/>
      <family val="2"/>
    </font>
    <font>
      <sz val="11"/>
      <color theme="1"/>
      <name val="Calibri"/>
      <family val="2"/>
    </font>
    <font>
      <sz val="9"/>
      <color theme="1"/>
      <name val="Times New Roman"/>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9"/>
      <color theme="1"/>
      <name val="Arial"/>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0"/>
      <name val="Arial"/>
      <family val="2"/>
    </font>
    <font>
      <b/>
      <sz val="9"/>
      <color theme="1"/>
      <name val="Arial"/>
      <family val="2"/>
    </font>
    <font>
      <sz val="11"/>
      <color theme="1"/>
      <name val="Calibri"/>
      <family val="2"/>
      <scheme val="minor"/>
    </font>
    <font>
      <sz val="10"/>
      <name val="Times New Roman"/>
      <family val="1"/>
    </font>
    <font>
      <b/>
      <sz val="10"/>
      <name val="Times New Roman"/>
      <family val="1"/>
    </font>
    <font>
      <sz val="11"/>
      <name val="Arial"/>
      <family val="2"/>
    </font>
    <font>
      <sz val="11"/>
      <name val="Times New Roman"/>
      <family val="1"/>
    </font>
    <font>
      <b/>
      <sz val="10"/>
      <name val="Arial"/>
      <family val="2"/>
    </font>
    <font>
      <b/>
      <sz val="11"/>
      <color theme="1"/>
      <name val="Calibri"/>
      <family val="2"/>
      <scheme val="minor"/>
    </font>
    <font>
      <sz val="9"/>
      <name val="Arial"/>
      <family val="2"/>
    </font>
    <font>
      <b/>
      <u/>
      <sz val="11"/>
      <color theme="1"/>
      <name val="Calibri"/>
      <family val="2"/>
    </font>
    <font>
      <b/>
      <sz val="11"/>
      <color theme="1"/>
      <name val="Calibri"/>
      <family val="2"/>
    </font>
    <font>
      <sz val="8"/>
      <name val="Arial"/>
      <family val="2"/>
    </font>
    <font>
      <sz val="7.5"/>
      <name val="Arial"/>
      <family val="2"/>
    </font>
    <font>
      <sz val="18"/>
      <color theme="3"/>
      <name val="Calibri Light"/>
      <family val="2"/>
      <scheme val="maj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sz val="11"/>
      <color theme="0"/>
      <name val="Calibri"/>
      <family val="2"/>
    </font>
    <font>
      <sz val="9"/>
      <color indexed="81"/>
      <name val="Tahoma"/>
      <family val="2"/>
    </font>
    <font>
      <b/>
      <sz val="9"/>
      <color indexed="81"/>
      <name val="Tahoma"/>
      <family val="2"/>
    </font>
  </fonts>
  <fills count="53">
    <fill>
      <patternFill patternType="none"/>
    </fill>
    <fill>
      <patternFill patternType="gray125"/>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4" tint="0.59999389629810485"/>
        <bgColor indexed="64"/>
      </patternFill>
    </fill>
  </fills>
  <borders count="41">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thick">
        <color indexed="64"/>
      </left>
      <right style="thick">
        <color indexed="64"/>
      </right>
      <top style="thick">
        <color indexed="64"/>
      </top>
      <bottom style="thick">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08080"/>
      </left>
      <right style="thin">
        <color rgb="FF808080"/>
      </right>
      <top style="thin">
        <color rgb="FF808080"/>
      </top>
      <bottom style="thin">
        <color theme="3" tint="-0.24994659260841701"/>
      </bottom>
      <diagonal/>
    </border>
    <border>
      <left style="thin">
        <color theme="3" tint="0.59996337778862885"/>
      </left>
      <right style="thin">
        <color theme="3" tint="-0.24994659260841701"/>
      </right>
      <top style="thin">
        <color theme="3" tint="0.59996337778862885"/>
      </top>
      <bottom style="thin">
        <color theme="3" tint="0.59996337778862885"/>
      </bottom>
      <diagonal/>
    </border>
    <border>
      <left style="thin">
        <color rgb="FF808080"/>
      </left>
      <right style="thin">
        <color theme="3" tint="-0.24994659260841701"/>
      </right>
      <top style="thin">
        <color rgb="FF808080"/>
      </top>
      <bottom style="thin">
        <color theme="3" tint="-0.24994659260841701"/>
      </bottom>
      <diagonal/>
    </border>
    <border>
      <left style="thin">
        <color theme="3" tint="-0.24994659260841701"/>
      </left>
      <right style="thin">
        <color rgb="FF808080"/>
      </right>
      <top style="thin">
        <color rgb="FF808080"/>
      </top>
      <bottom style="thin">
        <color theme="3" tint="-0.24994659260841701"/>
      </bottom>
      <diagonal/>
    </border>
    <border>
      <left style="thin">
        <color rgb="FF808080"/>
      </left>
      <right style="thin">
        <color theme="3" tint="-0.24994659260841701"/>
      </right>
      <top style="thin">
        <color rgb="FF808080"/>
      </top>
      <bottom style="thin">
        <color rgb="FF808080"/>
      </bottom>
      <diagonal/>
    </border>
  </borders>
  <cellStyleXfs count="105">
    <xf numFmtId="0" fontId="0" fillId="0" borderId="0"/>
    <xf numFmtId="43" fontId="3" fillId="0" borderId="0" applyFont="0" applyFill="0" applyBorder="0" applyAlignment="0" applyProtection="0"/>
    <xf numFmtId="0" fontId="4" fillId="2" borderId="1" applyNumberFormat="0" applyAlignment="0" applyProtection="0">
      <alignment horizontal="left" vertical="center" indent="1"/>
    </xf>
    <xf numFmtId="164" fontId="5" fillId="0" borderId="2" applyNumberFormat="0" applyProtection="0">
      <alignment horizontal="right" vertical="center"/>
    </xf>
    <xf numFmtId="164" fontId="4" fillId="0" borderId="3" applyNumberFormat="0" applyProtection="0">
      <alignment horizontal="right" vertical="center"/>
    </xf>
    <xf numFmtId="164" fontId="5" fillId="3" borderId="1" applyNumberFormat="0" applyAlignment="0" applyProtection="0">
      <alignment horizontal="left" vertical="center" indent="1"/>
    </xf>
    <xf numFmtId="0" fontId="6" fillId="4" borderId="3" applyNumberFormat="0" applyAlignment="0">
      <alignment horizontal="left" vertical="center" indent="1"/>
      <protection locked="0"/>
    </xf>
    <xf numFmtId="0" fontId="6" fillId="5" borderId="3" applyNumberFormat="0" applyAlignment="0" applyProtection="0">
      <alignment horizontal="left" vertical="center" indent="1"/>
    </xf>
    <xf numFmtId="164" fontId="5" fillId="6" borderId="2" applyNumberFormat="0" applyBorder="0">
      <alignment horizontal="right" vertical="center"/>
      <protection locked="0"/>
    </xf>
    <xf numFmtId="0" fontId="6" fillId="4" borderId="3" applyNumberFormat="0" applyAlignment="0">
      <alignment horizontal="left" vertical="center" indent="1"/>
      <protection locked="0"/>
    </xf>
    <xf numFmtId="164" fontId="4" fillId="5" borderId="3" applyNumberFormat="0" applyProtection="0">
      <alignment horizontal="right" vertical="center"/>
    </xf>
    <xf numFmtId="164" fontId="4" fillId="6" borderId="3" applyNumberFormat="0" applyBorder="0">
      <alignment horizontal="right" vertical="center"/>
      <protection locked="0"/>
    </xf>
    <xf numFmtId="164" fontId="7" fillId="7" borderId="4" applyNumberFormat="0" applyBorder="0" applyAlignment="0" applyProtection="0">
      <alignment horizontal="right" vertical="center" indent="1"/>
    </xf>
    <xf numFmtId="164" fontId="8" fillId="8" borderId="4" applyNumberFormat="0" applyBorder="0" applyAlignment="0" applyProtection="0">
      <alignment horizontal="right" vertical="center" indent="1"/>
    </xf>
    <xf numFmtId="164" fontId="8" fillId="9" borderId="4" applyNumberFormat="0" applyBorder="0" applyAlignment="0" applyProtection="0">
      <alignment horizontal="right" vertical="center" indent="1"/>
    </xf>
    <xf numFmtId="164" fontId="9" fillId="10" borderId="4" applyNumberFormat="0" applyBorder="0" applyAlignment="0" applyProtection="0">
      <alignment horizontal="right" vertical="center" indent="1"/>
    </xf>
    <xf numFmtId="164" fontId="9" fillId="11" borderId="4" applyNumberFormat="0" applyBorder="0" applyAlignment="0" applyProtection="0">
      <alignment horizontal="right" vertical="center" indent="1"/>
    </xf>
    <xf numFmtId="164" fontId="9" fillId="12" borderId="4" applyNumberFormat="0" applyBorder="0" applyAlignment="0" applyProtection="0">
      <alignment horizontal="right" vertical="center" indent="1"/>
    </xf>
    <xf numFmtId="164" fontId="10" fillId="13" borderId="4" applyNumberFormat="0" applyBorder="0" applyAlignment="0" applyProtection="0">
      <alignment horizontal="right" vertical="center" indent="1"/>
    </xf>
    <xf numFmtId="164" fontId="10" fillId="14" borderId="4" applyNumberFormat="0" applyBorder="0" applyAlignment="0" applyProtection="0">
      <alignment horizontal="right" vertical="center" indent="1"/>
    </xf>
    <xf numFmtId="164" fontId="10" fillId="15" borderId="4" applyNumberFormat="0" applyBorder="0" applyAlignment="0" applyProtection="0">
      <alignment horizontal="right" vertical="center" indent="1"/>
    </xf>
    <xf numFmtId="0" fontId="12" fillId="0" borderId="1" applyNumberFormat="0" applyFont="0" applyFill="0" applyAlignment="0" applyProtection="0"/>
    <xf numFmtId="164" fontId="13" fillId="3" borderId="0" applyNumberFormat="0" applyAlignment="0" applyProtection="0">
      <alignment horizontal="left" vertical="center" indent="1"/>
    </xf>
    <xf numFmtId="0" fontId="12" fillId="0" borderId="5" applyNumberFormat="0" applyFont="0" applyFill="0" applyAlignment="0" applyProtection="0"/>
    <xf numFmtId="164" fontId="5" fillId="0" borderId="2" applyNumberFormat="0" applyFill="0" applyBorder="0" applyAlignment="0" applyProtection="0">
      <alignment horizontal="right" vertical="center"/>
    </xf>
    <xf numFmtId="164" fontId="5" fillId="3" borderId="1" applyNumberFormat="0" applyAlignment="0" applyProtection="0">
      <alignment horizontal="left" vertical="center" indent="1"/>
    </xf>
    <xf numFmtId="0" fontId="4" fillId="2" borderId="3" applyNumberFormat="0" applyAlignment="0" applyProtection="0">
      <alignment horizontal="left" vertical="center" indent="1"/>
    </xf>
    <xf numFmtId="0" fontId="6" fillId="16" borderId="1" applyNumberFormat="0" applyAlignment="0" applyProtection="0">
      <alignment horizontal="left" vertical="center" indent="1"/>
    </xf>
    <xf numFmtId="0" fontId="6" fillId="17" borderId="1" applyNumberFormat="0" applyAlignment="0" applyProtection="0">
      <alignment horizontal="left" vertical="center" indent="1"/>
    </xf>
    <xf numFmtId="0" fontId="6" fillId="18" borderId="1" applyNumberFormat="0" applyAlignment="0" applyProtection="0">
      <alignment horizontal="left" vertical="center" indent="1"/>
    </xf>
    <xf numFmtId="0" fontId="6" fillId="6" borderId="1" applyNumberFormat="0" applyAlignment="0" applyProtection="0">
      <alignment horizontal="left" vertical="center" indent="1"/>
    </xf>
    <xf numFmtId="0" fontId="6" fillId="5" borderId="3" applyNumberFormat="0" applyAlignment="0" applyProtection="0">
      <alignment horizontal="left" vertical="center" indent="1"/>
    </xf>
    <xf numFmtId="0" fontId="14" fillId="0" borderId="6" applyNumberFormat="0" applyFill="0" applyBorder="0" applyAlignment="0" applyProtection="0"/>
    <xf numFmtId="0" fontId="15" fillId="0" borderId="6" applyNumberFormat="0" applyBorder="0" applyAlignment="0" applyProtection="0"/>
    <xf numFmtId="0" fontId="14" fillId="4" borderId="3" applyNumberFormat="0" applyAlignment="0">
      <alignment horizontal="left" vertical="center" indent="1"/>
      <protection locked="0"/>
    </xf>
    <xf numFmtId="0" fontId="14" fillId="4" borderId="3" applyNumberFormat="0" applyAlignment="0">
      <alignment horizontal="left" vertical="center" indent="1"/>
      <protection locked="0"/>
    </xf>
    <xf numFmtId="0" fontId="14" fillId="5" borderId="3" applyNumberFormat="0" applyAlignment="0" applyProtection="0">
      <alignment horizontal="left" vertical="center" indent="1"/>
    </xf>
    <xf numFmtId="164" fontId="16" fillId="5" borderId="3" applyNumberFormat="0" applyProtection="0">
      <alignment horizontal="right" vertical="center"/>
    </xf>
    <xf numFmtId="164" fontId="17" fillId="6" borderId="2" applyNumberFormat="0" applyBorder="0">
      <alignment horizontal="right" vertical="center"/>
      <protection locked="0"/>
    </xf>
    <xf numFmtId="164" fontId="16" fillId="6" borderId="3" applyNumberFormat="0" applyBorder="0">
      <alignment horizontal="right" vertical="center"/>
      <protection locked="0"/>
    </xf>
    <xf numFmtId="164" fontId="5" fillId="0" borderId="2" applyNumberFormat="0" applyFill="0" applyBorder="0" applyAlignment="0" applyProtection="0">
      <alignment horizontal="right" vertical="center"/>
    </xf>
    <xf numFmtId="0" fontId="18" fillId="0" borderId="0"/>
    <xf numFmtId="43" fontId="18" fillId="0" borderId="0" applyFont="0" applyFill="0" applyBorder="0" applyAlignment="0" applyProtection="0"/>
    <xf numFmtId="0" fontId="18" fillId="0" borderId="0"/>
    <xf numFmtId="43" fontId="20" fillId="0" borderId="0" applyFont="0" applyFill="0" applyBorder="0" applyAlignment="0" applyProtection="0"/>
    <xf numFmtId="0" fontId="20" fillId="0" borderId="0"/>
    <xf numFmtId="44" fontId="20" fillId="0" borderId="0" applyFont="0" applyFill="0" applyBorder="0" applyAlignment="0" applyProtection="0"/>
    <xf numFmtId="0" fontId="18" fillId="0" borderId="0"/>
    <xf numFmtId="0" fontId="23" fillId="0" borderId="0"/>
    <xf numFmtId="0" fontId="32" fillId="0" borderId="0" applyNumberFormat="0" applyFill="0" applyBorder="0" applyAlignment="0" applyProtection="0"/>
    <xf numFmtId="0" fontId="33" fillId="0" borderId="27" applyNumberFormat="0" applyFill="0" applyAlignment="0" applyProtection="0"/>
    <xf numFmtId="0" fontId="34" fillId="0" borderId="28" applyNumberFormat="0" applyFill="0" applyAlignment="0" applyProtection="0"/>
    <xf numFmtId="0" fontId="35" fillId="0" borderId="29" applyNumberFormat="0" applyFill="0" applyAlignment="0" applyProtection="0"/>
    <xf numFmtId="0" fontId="35" fillId="0" borderId="0" applyNumberFormat="0" applyFill="0" applyBorder="0" applyAlignment="0" applyProtection="0"/>
    <xf numFmtId="0" fontId="36" fillId="20" borderId="0" applyNumberFormat="0" applyBorder="0" applyAlignment="0" applyProtection="0"/>
    <xf numFmtId="0" fontId="37" fillId="21" borderId="0" applyNumberFormat="0" applyBorder="0" applyAlignment="0" applyProtection="0"/>
    <xf numFmtId="0" fontId="38" fillId="22" borderId="0" applyNumberFormat="0" applyBorder="0" applyAlignment="0" applyProtection="0"/>
    <xf numFmtId="0" fontId="39" fillId="23" borderId="30" applyNumberFormat="0" applyAlignment="0" applyProtection="0"/>
    <xf numFmtId="0" fontId="40" fillId="24" borderId="31" applyNumberFormat="0" applyAlignment="0" applyProtection="0"/>
    <xf numFmtId="0" fontId="41" fillId="24" borderId="30" applyNumberFormat="0" applyAlignment="0" applyProtection="0"/>
    <xf numFmtId="0" fontId="42" fillId="0" borderId="32" applyNumberFormat="0" applyFill="0" applyAlignment="0" applyProtection="0"/>
    <xf numFmtId="0" fontId="43" fillId="25" borderId="33"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9" fillId="0" borderId="35" applyNumberFormat="0" applyFill="0" applyAlignment="0" applyProtection="0"/>
    <xf numFmtId="0" fontId="4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46" fillId="42" borderId="0" applyNumberFormat="0" applyBorder="0" applyAlignment="0" applyProtection="0"/>
    <xf numFmtId="0" fontId="46"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46" fillId="50" borderId="0" applyNumberFormat="0" applyBorder="0" applyAlignment="0" applyProtection="0"/>
    <xf numFmtId="0" fontId="2" fillId="0" borderId="0"/>
    <xf numFmtId="0" fontId="2" fillId="26" borderId="34" applyNumberFormat="0" applyFont="0" applyAlignment="0" applyProtection="0"/>
    <xf numFmtId="0" fontId="1" fillId="0" borderId="0"/>
    <xf numFmtId="0" fontId="1" fillId="26" borderId="34" applyNumberFormat="0" applyFont="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cellStyleXfs>
  <cellXfs count="129">
    <xf numFmtId="0" fontId="0" fillId="0" borderId="0" xfId="0"/>
    <xf numFmtId="0" fontId="19" fillId="0" borderId="0" xfId="0" applyFont="1"/>
    <xf numFmtId="43" fontId="11" fillId="0" borderId="9" xfId="1" applyFont="1" applyBorder="1"/>
    <xf numFmtId="43" fontId="11" fillId="0" borderId="10" xfId="1" applyFont="1" applyBorder="1"/>
    <xf numFmtId="0" fontId="19" fillId="0" borderId="7" xfId="0" applyFont="1" applyFill="1" applyBorder="1" applyAlignment="1">
      <alignment horizontal="center"/>
    </xf>
    <xf numFmtId="0" fontId="19" fillId="0" borderId="8" xfId="0" applyFont="1" applyFill="1" applyBorder="1" applyAlignment="1">
      <alignment horizontal="center"/>
    </xf>
    <xf numFmtId="0" fontId="11" fillId="0" borderId="0" xfId="0" applyFont="1"/>
    <xf numFmtId="43" fontId="11" fillId="0" borderId="0" xfId="1" applyFont="1"/>
    <xf numFmtId="0" fontId="11" fillId="0" borderId="16" xfId="0" applyFont="1" applyBorder="1"/>
    <xf numFmtId="0" fontId="11" fillId="0" borderId="17" xfId="0" applyFont="1" applyBorder="1"/>
    <xf numFmtId="0" fontId="11" fillId="0" borderId="18" xfId="0" applyFont="1" applyBorder="1"/>
    <xf numFmtId="0" fontId="11" fillId="0" borderId="9" xfId="0" applyFont="1" applyBorder="1"/>
    <xf numFmtId="43" fontId="11" fillId="0" borderId="14" xfId="1" applyFont="1" applyBorder="1"/>
    <xf numFmtId="43" fontId="11" fillId="0" borderId="19" xfId="1" applyFont="1" applyBorder="1"/>
    <xf numFmtId="43" fontId="11" fillId="0" borderId="20" xfId="1" applyFont="1" applyBorder="1"/>
    <xf numFmtId="0" fontId="11" fillId="0" borderId="10" xfId="0" applyFont="1" applyBorder="1"/>
    <xf numFmtId="43" fontId="11" fillId="0" borderId="21" xfId="1" applyFont="1" applyBorder="1"/>
    <xf numFmtId="43" fontId="11" fillId="0" borderId="22" xfId="1" applyFont="1" applyBorder="1"/>
    <xf numFmtId="43" fontId="11" fillId="0" borderId="23" xfId="1" applyFont="1" applyBorder="1"/>
    <xf numFmtId="17" fontId="11" fillId="0" borderId="0" xfId="0" applyNumberFormat="1" applyFont="1"/>
    <xf numFmtId="3" fontId="21" fillId="0" borderId="0" xfId="44" applyNumberFormat="1" applyFont="1" applyFill="1" applyBorder="1" applyAlignment="1"/>
    <xf numFmtId="41" fontId="21" fillId="0" borderId="0" xfId="45" applyNumberFormat="1" applyFont="1" applyFill="1" applyBorder="1"/>
    <xf numFmtId="0" fontId="21" fillId="0" borderId="0" xfId="45" applyFont="1" applyFill="1" applyBorder="1" applyAlignment="1"/>
    <xf numFmtId="0" fontId="22" fillId="0" borderId="24" xfId="45" applyFont="1" applyFill="1" applyBorder="1" applyAlignment="1">
      <alignment horizontal="right"/>
    </xf>
    <xf numFmtId="0" fontId="23" fillId="0" borderId="0" xfId="45" applyFont="1" applyFill="1" applyBorder="1"/>
    <xf numFmtId="0" fontId="20" fillId="0" borderId="0" xfId="45"/>
    <xf numFmtId="3" fontId="22" fillId="0" borderId="0" xfId="44" applyNumberFormat="1" applyFont="1" applyFill="1" applyBorder="1" applyAlignment="1">
      <alignment horizontal="centerContinuous"/>
    </xf>
    <xf numFmtId="3" fontId="21" fillId="0" borderId="0" xfId="44" applyNumberFormat="1" applyFont="1" applyFill="1" applyBorder="1" applyAlignment="1">
      <alignment horizontal="centerContinuous"/>
    </xf>
    <xf numFmtId="41" fontId="21" fillId="0" borderId="0" xfId="45" applyNumberFormat="1" applyFont="1" applyFill="1" applyBorder="1" applyAlignment="1">
      <alignment horizontal="centerContinuous"/>
    </xf>
    <xf numFmtId="0" fontId="21" fillId="0" borderId="0" xfId="45" applyFont="1" applyFill="1" applyBorder="1" applyAlignment="1">
      <alignment horizontal="centerContinuous"/>
    </xf>
    <xf numFmtId="0" fontId="22" fillId="0" borderId="0" xfId="45" applyFont="1" applyFill="1" applyBorder="1" applyAlignment="1">
      <alignment horizontal="centerContinuous"/>
    </xf>
    <xf numFmtId="0" fontId="24" fillId="0" borderId="0" xfId="45" applyFont="1" applyFill="1" applyBorder="1" applyAlignment="1">
      <alignment horizontal="centerContinuous"/>
    </xf>
    <xf numFmtId="0" fontId="20" fillId="0" borderId="0" xfId="45" applyAlignment="1">
      <alignment horizontal="centerContinuous"/>
    </xf>
    <xf numFmtId="42" fontId="21" fillId="0" borderId="0" xfId="45" applyNumberFormat="1" applyFont="1" applyFill="1" applyBorder="1" applyAlignment="1">
      <alignment horizontal="centerContinuous"/>
    </xf>
    <xf numFmtId="0" fontId="23" fillId="0" borderId="0" xfId="45" applyFont="1" applyFill="1" applyBorder="1" applyAlignment="1">
      <alignment horizontal="centerContinuous"/>
    </xf>
    <xf numFmtId="0" fontId="22" fillId="0" borderId="0" xfId="45" applyFont="1" applyFill="1" applyBorder="1" applyAlignment="1">
      <alignment horizontal="centerContinuous" vertical="center" wrapText="1"/>
    </xf>
    <xf numFmtId="42" fontId="21" fillId="0" borderId="0" xfId="45" applyNumberFormat="1" applyFont="1" applyFill="1" applyBorder="1"/>
    <xf numFmtId="0" fontId="22" fillId="0" borderId="0" xfId="45" applyFont="1" applyFill="1" applyBorder="1" applyAlignment="1"/>
    <xf numFmtId="0" fontId="22" fillId="0" borderId="0" xfId="45" applyFont="1" applyFill="1" applyBorder="1" applyAlignment="1" applyProtection="1">
      <protection locked="0"/>
    </xf>
    <xf numFmtId="0" fontId="24" fillId="0" borderId="0" xfId="45" applyFont="1" applyFill="1" applyBorder="1"/>
    <xf numFmtId="0" fontId="22" fillId="0" borderId="0" xfId="45" applyFont="1" applyFill="1" applyBorder="1" applyAlignment="1">
      <alignment horizontal="center"/>
    </xf>
    <xf numFmtId="41" fontId="22" fillId="0" borderId="0" xfId="45" applyNumberFormat="1" applyFont="1" applyFill="1" applyBorder="1" applyAlignment="1">
      <alignment horizontal="center"/>
    </xf>
    <xf numFmtId="0" fontId="22" fillId="0" borderId="15" xfId="45" applyFont="1" applyFill="1" applyBorder="1" applyAlignment="1">
      <alignment horizontal="center"/>
    </xf>
    <xf numFmtId="0" fontId="22" fillId="0" borderId="15" xfId="45" applyFont="1" applyFill="1" applyBorder="1" applyAlignment="1" applyProtection="1">
      <protection locked="0"/>
    </xf>
    <xf numFmtId="41" fontId="22" fillId="0" borderId="15" xfId="45" applyNumberFormat="1" applyFont="1" applyFill="1" applyBorder="1" applyAlignment="1">
      <alignment horizontal="center"/>
    </xf>
    <xf numFmtId="0" fontId="21" fillId="0" borderId="0" xfId="45" applyFont="1" applyFill="1" applyBorder="1"/>
    <xf numFmtId="0" fontId="21" fillId="0" borderId="0" xfId="45" applyFont="1" applyFill="1" applyBorder="1" applyAlignment="1">
      <alignment horizontal="center"/>
    </xf>
    <xf numFmtId="0" fontId="21" fillId="0" borderId="0" xfId="46" applyNumberFormat="1" applyFont="1" applyFill="1" applyBorder="1" applyAlignment="1" applyProtection="1">
      <protection locked="0"/>
    </xf>
    <xf numFmtId="165" fontId="21" fillId="0" borderId="0" xfId="45" applyNumberFormat="1" applyFont="1" applyFill="1" applyBorder="1"/>
    <xf numFmtId="0" fontId="21" fillId="0" borderId="0" xfId="45" applyNumberFormat="1" applyFont="1" applyFill="1" applyBorder="1" applyAlignment="1" applyProtection="1">
      <protection locked="0"/>
    </xf>
    <xf numFmtId="41" fontId="21" fillId="0" borderId="15" xfId="45" applyNumberFormat="1" applyFont="1" applyFill="1" applyBorder="1"/>
    <xf numFmtId="165" fontId="21" fillId="0" borderId="15" xfId="45" applyNumberFormat="1" applyFont="1" applyFill="1" applyBorder="1"/>
    <xf numFmtId="41" fontId="21" fillId="0" borderId="0" xfId="46" applyNumberFormat="1" applyFont="1" applyFill="1" applyBorder="1" applyProtection="1">
      <protection locked="0"/>
    </xf>
    <xf numFmtId="165" fontId="24" fillId="0" borderId="0" xfId="45" applyNumberFormat="1" applyFont="1" applyFill="1" applyBorder="1"/>
    <xf numFmtId="0" fontId="21" fillId="0" borderId="0" xfId="45" applyFont="1" applyFill="1" applyBorder="1" applyAlignment="1">
      <alignment horizontal="left"/>
    </xf>
    <xf numFmtId="41" fontId="21" fillId="0" borderId="0" xfId="45" applyNumberFormat="1" applyFont="1" applyFill="1" applyBorder="1" applyAlignment="1"/>
    <xf numFmtId="9" fontId="21" fillId="0" borderId="0" xfId="45" applyNumberFormat="1" applyFont="1" applyFill="1" applyBorder="1" applyAlignment="1">
      <alignment horizontal="center"/>
    </xf>
    <xf numFmtId="41" fontId="21" fillId="0" borderId="0" xfId="45" applyNumberFormat="1" applyFont="1" applyFill="1" applyBorder="1" applyAlignment="1" applyProtection="1">
      <protection locked="0"/>
    </xf>
    <xf numFmtId="42" fontId="21" fillId="0" borderId="25" xfId="45" applyNumberFormat="1" applyFont="1" applyFill="1" applyBorder="1" applyAlignment="1"/>
    <xf numFmtId="0" fontId="20" fillId="0" borderId="0" xfId="45" applyFill="1"/>
    <xf numFmtId="165" fontId="21" fillId="0" borderId="0" xfId="44" applyNumberFormat="1" applyFont="1" applyFill="1" applyBorder="1"/>
    <xf numFmtId="166" fontId="0" fillId="0" borderId="0" xfId="44" applyNumberFormat="1" applyFont="1" applyFill="1"/>
    <xf numFmtId="165" fontId="21" fillId="0" borderId="15" xfId="44" applyNumberFormat="1" applyFont="1" applyFill="1" applyBorder="1"/>
    <xf numFmtId="165" fontId="21" fillId="0" borderId="0" xfId="44" applyNumberFormat="1" applyFont="1" applyFill="1" applyBorder="1" applyProtection="1">
      <protection locked="0"/>
    </xf>
    <xf numFmtId="165" fontId="24" fillId="0" borderId="0" xfId="44" applyNumberFormat="1" applyFont="1" applyFill="1" applyBorder="1"/>
    <xf numFmtId="166" fontId="0" fillId="0" borderId="0" xfId="44" applyNumberFormat="1" applyFont="1"/>
    <xf numFmtId="165" fontId="21" fillId="0" borderId="0" xfId="44" applyNumberFormat="1" applyFont="1" applyFill="1" applyBorder="1" applyAlignment="1"/>
    <xf numFmtId="165" fontId="21" fillId="0" borderId="0" xfId="44" applyNumberFormat="1" applyFont="1" applyFill="1" applyBorder="1" applyAlignment="1" applyProtection="1">
      <protection locked="0"/>
    </xf>
    <xf numFmtId="165" fontId="21" fillId="0" borderId="25" xfId="44" applyNumberFormat="1" applyFont="1" applyFill="1" applyBorder="1" applyAlignment="1"/>
    <xf numFmtId="166" fontId="21" fillId="0" borderId="0" xfId="44" applyNumberFormat="1" applyFont="1" applyFill="1" applyBorder="1"/>
    <xf numFmtId="166" fontId="24" fillId="0" borderId="0" xfId="44" applyNumberFormat="1" applyFont="1" applyFill="1" applyBorder="1"/>
    <xf numFmtId="0" fontId="26" fillId="0" borderId="0" xfId="45" applyFont="1" applyFill="1" applyAlignment="1">
      <alignment horizontal="centerContinuous"/>
    </xf>
    <xf numFmtId="0" fontId="20" fillId="0" borderId="0" xfId="45" applyFill="1" applyAlignment="1">
      <alignment horizontal="centerContinuous"/>
    </xf>
    <xf numFmtId="0" fontId="20" fillId="0" borderId="0" xfId="45" applyFill="1" applyAlignment="1"/>
    <xf numFmtId="0" fontId="20" fillId="0" borderId="0" xfId="45" applyFill="1" applyAlignment="1">
      <alignment horizontal="left"/>
    </xf>
    <xf numFmtId="0" fontId="20" fillId="0" borderId="0" xfId="45" applyFill="1" applyAlignment="1">
      <alignment horizontal="center"/>
    </xf>
    <xf numFmtId="0" fontId="27" fillId="0" borderId="0" xfId="47" applyFont="1" applyFill="1" applyAlignment="1">
      <alignment horizontal="right"/>
    </xf>
    <xf numFmtId="42" fontId="27" fillId="0" borderId="13" xfId="47" applyNumberFormat="1" applyFont="1" applyFill="1" applyBorder="1" applyProtection="1">
      <protection locked="0"/>
    </xf>
    <xf numFmtId="0" fontId="27" fillId="0" borderId="13" xfId="47" applyFont="1" applyFill="1" applyBorder="1" applyAlignment="1" applyProtection="1">
      <alignment horizontal="center"/>
      <protection locked="0"/>
    </xf>
    <xf numFmtId="0" fontId="26" fillId="0" borderId="0" xfId="45" applyFont="1" applyFill="1"/>
    <xf numFmtId="167" fontId="27" fillId="0" borderId="26" xfId="47" applyNumberFormat="1" applyFont="1" applyFill="1" applyBorder="1"/>
    <xf numFmtId="167" fontId="27" fillId="0" borderId="11" xfId="47" applyNumberFormat="1" applyFont="1" applyFill="1" applyBorder="1"/>
    <xf numFmtId="0" fontId="27" fillId="0" borderId="14" xfId="47" applyFont="1" applyFill="1" applyBorder="1"/>
    <xf numFmtId="0" fontId="20" fillId="0" borderId="0" xfId="45" applyFill="1" applyAlignment="1">
      <alignment horizontal="right"/>
    </xf>
    <xf numFmtId="167" fontId="27" fillId="0" borderId="13" xfId="47" applyNumberFormat="1" applyFont="1" applyFill="1" applyBorder="1" applyAlignment="1">
      <alignment horizontal="center"/>
    </xf>
    <xf numFmtId="167" fontId="27" fillId="0" borderId="13" xfId="47" applyNumberFormat="1" applyFont="1" applyFill="1" applyBorder="1"/>
    <xf numFmtId="44" fontId="27" fillId="0" borderId="13" xfId="47" applyNumberFormat="1" applyFont="1" applyFill="1" applyBorder="1"/>
    <xf numFmtId="0" fontId="30" fillId="0" borderId="13" xfId="47" applyFont="1" applyFill="1" applyBorder="1" applyAlignment="1">
      <alignment horizontal="center"/>
    </xf>
    <xf numFmtId="0" fontId="31" fillId="0" borderId="13" xfId="47" applyFont="1" applyFill="1" applyBorder="1" applyAlignment="1">
      <alignment horizontal="center"/>
    </xf>
    <xf numFmtId="44" fontId="27" fillId="0" borderId="13" xfId="47" applyNumberFormat="1" applyFont="1" applyFill="1" applyBorder="1" applyProtection="1">
      <protection locked="0"/>
    </xf>
    <xf numFmtId="1" fontId="27" fillId="0" borderId="13" xfId="47" applyNumberFormat="1" applyFont="1" applyFill="1" applyBorder="1" applyProtection="1">
      <protection locked="0"/>
    </xf>
    <xf numFmtId="43" fontId="0" fillId="0" borderId="0" xfId="44" applyFont="1" applyFill="1"/>
    <xf numFmtId="0" fontId="20" fillId="0" borderId="0" xfId="45" applyFill="1" applyAlignment="1">
      <alignment wrapText="1"/>
    </xf>
    <xf numFmtId="43" fontId="26" fillId="0" borderId="0" xfId="44" applyFont="1" applyFill="1"/>
    <xf numFmtId="168" fontId="27" fillId="0" borderId="0" xfId="48" applyNumberFormat="1" applyFont="1" applyFill="1" applyAlignment="1">
      <alignment horizontal="left"/>
    </xf>
    <xf numFmtId="165" fontId="11" fillId="0" borderId="0" xfId="44" applyNumberFormat="1" applyFont="1" applyFill="1" applyAlignment="1">
      <alignment horizontal="right"/>
    </xf>
    <xf numFmtId="165" fontId="20" fillId="0" borderId="25" xfId="45" applyNumberFormat="1" applyFill="1" applyBorder="1"/>
    <xf numFmtId="0" fontId="20" fillId="0" borderId="0" xfId="45" applyFill="1" applyBorder="1"/>
    <xf numFmtId="43" fontId="11" fillId="0" borderId="0" xfId="1" applyFont="1" applyFill="1"/>
    <xf numFmtId="10" fontId="19" fillId="0" borderId="0" xfId="0" applyNumberFormat="1" applyFont="1" applyFill="1"/>
    <xf numFmtId="0" fontId="5" fillId="3" borderId="1" xfId="25" applyNumberFormat="1" applyAlignment="1"/>
    <xf numFmtId="0" fontId="4" fillId="2" borderId="1" xfId="2" applyNumberFormat="1" applyBorder="1" applyAlignment="1"/>
    <xf numFmtId="0" fontId="5" fillId="3" borderId="1" xfId="25" applyNumberFormat="1" applyBorder="1" applyAlignment="1"/>
    <xf numFmtId="0" fontId="4" fillId="2" borderId="36" xfId="26" applyNumberFormat="1" applyBorder="1" applyAlignment="1"/>
    <xf numFmtId="169" fontId="5" fillId="0" borderId="37" xfId="3" applyNumberFormat="1" applyBorder="1">
      <alignment horizontal="right" vertical="center"/>
    </xf>
    <xf numFmtId="169" fontId="4" fillId="0" borderId="38" xfId="4" applyNumberFormat="1" applyBorder="1">
      <alignment horizontal="right" vertical="center"/>
    </xf>
    <xf numFmtId="0" fontId="4" fillId="2" borderId="38" xfId="26" applyNumberFormat="1" applyBorder="1" applyAlignment="1"/>
    <xf numFmtId="0" fontId="4" fillId="2" borderId="1" xfId="2" quotePrefix="1" applyNumberFormat="1" applyBorder="1" applyAlignment="1"/>
    <xf numFmtId="0" fontId="5" fillId="3" borderId="1" xfId="25" quotePrefix="1" applyNumberFormat="1" applyBorder="1" applyAlignment="1"/>
    <xf numFmtId="0" fontId="5" fillId="3" borderId="1" xfId="25" quotePrefix="1" applyNumberFormat="1" applyBorder="1" applyAlignment="1">
      <alignment horizontal="right"/>
    </xf>
    <xf numFmtId="0" fontId="5" fillId="3" borderId="1" xfId="25" quotePrefix="1" applyNumberFormat="1" applyAlignment="1"/>
    <xf numFmtId="0" fontId="4" fillId="2" borderId="36" xfId="26" quotePrefix="1" applyNumberFormat="1" applyBorder="1" applyAlignment="1"/>
    <xf numFmtId="169" fontId="4" fillId="0" borderId="40" xfId="4" applyNumberFormat="1" applyBorder="1">
      <alignment horizontal="right" vertical="center"/>
    </xf>
    <xf numFmtId="0" fontId="4" fillId="2" borderId="40" xfId="26" quotePrefix="1" applyNumberFormat="1" applyBorder="1" applyAlignment="1"/>
    <xf numFmtId="0" fontId="4" fillId="2" borderId="39" xfId="26" quotePrefix="1" applyNumberFormat="1" applyBorder="1" applyAlignment="1"/>
    <xf numFmtId="0" fontId="25" fillId="0" borderId="0" xfId="41" applyFont="1" applyFill="1" applyAlignment="1">
      <alignment vertical="top"/>
    </xf>
    <xf numFmtId="0" fontId="19" fillId="0" borderId="0" xfId="0" applyFont="1" applyFill="1"/>
    <xf numFmtId="0" fontId="11" fillId="0" borderId="0" xfId="0" applyFont="1" applyFill="1"/>
    <xf numFmtId="0" fontId="27" fillId="19" borderId="14" xfId="47" applyFont="1" applyFill="1" applyBorder="1"/>
    <xf numFmtId="169" fontId="4" fillId="51" borderId="38" xfId="4" applyNumberFormat="1" applyFill="1" applyBorder="1">
      <alignment horizontal="right" vertical="center"/>
    </xf>
    <xf numFmtId="0" fontId="19" fillId="0" borderId="12" xfId="0" applyFont="1" applyFill="1" applyBorder="1" applyAlignment="1">
      <alignment horizontal="center"/>
    </xf>
    <xf numFmtId="0" fontId="19" fillId="0" borderId="11" xfId="0" applyFont="1" applyFill="1" applyBorder="1" applyAlignment="1">
      <alignment horizontal="center"/>
    </xf>
    <xf numFmtId="0" fontId="11" fillId="0" borderId="12" xfId="0" applyFont="1" applyFill="1" applyBorder="1" applyAlignment="1">
      <alignment horizontal="center"/>
    </xf>
    <xf numFmtId="0" fontId="11" fillId="0" borderId="12" xfId="0" applyFont="1" applyFill="1" applyBorder="1"/>
    <xf numFmtId="0" fontId="25" fillId="52" borderId="0" xfId="41" applyFont="1" applyFill="1" applyAlignment="1">
      <alignment vertical="top"/>
    </xf>
    <xf numFmtId="0" fontId="19" fillId="52" borderId="0" xfId="0" applyFont="1" applyFill="1"/>
    <xf numFmtId="168" fontId="11" fillId="0" borderId="0" xfId="0" applyNumberFormat="1" applyFont="1" applyFill="1" applyAlignment="1">
      <alignment horizontal="left"/>
    </xf>
    <xf numFmtId="0" fontId="19" fillId="0" borderId="9" xfId="0" applyFont="1" applyFill="1" applyBorder="1" applyAlignment="1">
      <alignment horizontal="center"/>
    </xf>
    <xf numFmtId="0" fontId="19" fillId="0" borderId="10" xfId="0" applyFont="1" applyFill="1" applyBorder="1" applyAlignment="1">
      <alignment horizontal="center"/>
    </xf>
  </cellXfs>
  <cellStyles count="105">
    <cellStyle name="20% - Accent1" xfId="66" builtinId="30" customBuiltin="1"/>
    <cellStyle name="20% - Accent1 2" xfId="93"/>
    <cellStyle name="20% - Accent2" xfId="70" builtinId="34" customBuiltin="1"/>
    <cellStyle name="20% - Accent2 2" xfId="95"/>
    <cellStyle name="20% - Accent3" xfId="74" builtinId="38" customBuiltin="1"/>
    <cellStyle name="20% - Accent3 2" xfId="97"/>
    <cellStyle name="20% - Accent4" xfId="78" builtinId="42" customBuiltin="1"/>
    <cellStyle name="20% - Accent4 2" xfId="99"/>
    <cellStyle name="20% - Accent5" xfId="82" builtinId="46" customBuiltin="1"/>
    <cellStyle name="20% - Accent5 2" xfId="101"/>
    <cellStyle name="20% - Accent6" xfId="86" builtinId="50" customBuiltin="1"/>
    <cellStyle name="20% - Accent6 2" xfId="103"/>
    <cellStyle name="40% - Accent1" xfId="67" builtinId="31" customBuiltin="1"/>
    <cellStyle name="40% - Accent1 2" xfId="94"/>
    <cellStyle name="40% - Accent2" xfId="71" builtinId="35" customBuiltin="1"/>
    <cellStyle name="40% - Accent2 2" xfId="96"/>
    <cellStyle name="40% - Accent3" xfId="75" builtinId="39" customBuiltin="1"/>
    <cellStyle name="40% - Accent3 2" xfId="98"/>
    <cellStyle name="40% - Accent4" xfId="79" builtinId="43" customBuiltin="1"/>
    <cellStyle name="40% - Accent4 2" xfId="100"/>
    <cellStyle name="40% - Accent5" xfId="83" builtinId="47" customBuiltin="1"/>
    <cellStyle name="40% - Accent5 2" xfId="102"/>
    <cellStyle name="40% - Accent6" xfId="87" builtinId="51" customBuiltin="1"/>
    <cellStyle name="40% - Accent6 2" xfId="104"/>
    <cellStyle name="60% - Accent1" xfId="68" builtinId="32" customBuiltin="1"/>
    <cellStyle name="60% - Accent2" xfId="72" builtinId="36" customBuiltin="1"/>
    <cellStyle name="60% - Accent3" xfId="76" builtinId="40" customBuiltin="1"/>
    <cellStyle name="60% - Accent4" xfId="80" builtinId="44" customBuiltin="1"/>
    <cellStyle name="60% - Accent5" xfId="84" builtinId="48" customBuiltin="1"/>
    <cellStyle name="60% - Accent6" xfId="88" builtinId="52" customBuiltin="1"/>
    <cellStyle name="Accent1" xfId="65" builtinId="29" customBuiltin="1"/>
    <cellStyle name="Accent2" xfId="69" builtinId="33" customBuiltin="1"/>
    <cellStyle name="Accent3" xfId="73" builtinId="37" customBuiltin="1"/>
    <cellStyle name="Accent4" xfId="77" builtinId="41" customBuiltin="1"/>
    <cellStyle name="Accent5" xfId="81" builtinId="45" customBuiltin="1"/>
    <cellStyle name="Accent6" xfId="85" builtinId="49" customBuiltin="1"/>
    <cellStyle name="Bad" xfId="55" builtinId="27" customBuiltin="1"/>
    <cellStyle name="Calculation" xfId="59" builtinId="22" customBuiltin="1"/>
    <cellStyle name="Check Cell" xfId="61" builtinId="23" customBuiltin="1"/>
    <cellStyle name="Comma" xfId="1" builtinId="3"/>
    <cellStyle name="Comma 2" xfId="42"/>
    <cellStyle name="Comma 3" xfId="44"/>
    <cellStyle name="Currency 2" xfId="46"/>
    <cellStyle name="Explanatory Text" xfId="63" builtinId="53" customBuiltin="1"/>
    <cellStyle name="Good" xfId="54" builtinId="26" customBuiltin="1"/>
    <cellStyle name="Heading 1" xfId="50" builtinId="16" customBuiltin="1"/>
    <cellStyle name="Heading 2" xfId="51" builtinId="17" customBuiltin="1"/>
    <cellStyle name="Heading 3" xfId="52" builtinId="18" customBuiltin="1"/>
    <cellStyle name="Heading 4" xfId="53" builtinId="19" customBuiltin="1"/>
    <cellStyle name="Input" xfId="57" builtinId="20" customBuiltin="1"/>
    <cellStyle name="Linked Cell" xfId="60" builtinId="24" customBuiltin="1"/>
    <cellStyle name="Neutral" xfId="56" builtinId="28" customBuiltin="1"/>
    <cellStyle name="Normal" xfId="0" builtinId="0"/>
    <cellStyle name="Normal 2" xfId="41"/>
    <cellStyle name="Normal 2 2" xfId="47"/>
    <cellStyle name="Normal 3" xfId="45"/>
    <cellStyle name="Normal 4" xfId="89"/>
    <cellStyle name="Normal 48" xfId="43"/>
    <cellStyle name="Normal 5" xfId="91"/>
    <cellStyle name="Normal_Detail" xfId="48"/>
    <cellStyle name="Note 2" xfId="90"/>
    <cellStyle name="Note 3" xfId="92"/>
    <cellStyle name="Output" xfId="58" builtinId="21" customBuiltin="1"/>
    <cellStyle name="SAPBorder" xfId="21"/>
    <cellStyle name="SAPDataCell" xfId="3"/>
    <cellStyle name="SAPDataRemoved" xfId="22"/>
    <cellStyle name="SAPDataTotalCell" xfId="4"/>
    <cellStyle name="SAPDimensionCell" xfId="2"/>
    <cellStyle name="SAPEditableDataCell" xfId="6"/>
    <cellStyle name="SAPEditableDataTotalCell" xfId="9"/>
    <cellStyle name="SAPEmphasized" xfId="32"/>
    <cellStyle name="SAPEmphasizedEditableDataCell" xfId="34"/>
    <cellStyle name="SAPEmphasizedEditableDataTotalCell" xfId="35"/>
    <cellStyle name="SAPEmphasizedLockedDataCell" xfId="38"/>
    <cellStyle name="SAPEmphasizedLockedDataTotalCell" xfId="39"/>
    <cellStyle name="SAPEmphasizedReadonlyDataCell" xfId="36"/>
    <cellStyle name="SAPEmphasizedReadonlyDataTotalCell" xfId="37"/>
    <cellStyle name="SAPEmphasizedTotal" xfId="33"/>
    <cellStyle name="SAPError" xfId="23"/>
    <cellStyle name="SAPExceptionLevel1" xfId="12"/>
    <cellStyle name="SAPExceptionLevel2" xfId="13"/>
    <cellStyle name="SAPExceptionLevel3" xfId="14"/>
    <cellStyle name="SAPExceptionLevel4" xfId="15"/>
    <cellStyle name="SAPExceptionLevel5" xfId="16"/>
    <cellStyle name="SAPExceptionLevel6" xfId="17"/>
    <cellStyle name="SAPExceptionLevel7" xfId="18"/>
    <cellStyle name="SAPExceptionLevel8" xfId="19"/>
    <cellStyle name="SAPExceptionLevel9" xfId="20"/>
    <cellStyle name="SAPFormula" xfId="40"/>
    <cellStyle name="SAPGroupingFillCell" xfId="5"/>
    <cellStyle name="SAPHierarchyCell0" xfId="27"/>
    <cellStyle name="SAPHierarchyCell1" xfId="28"/>
    <cellStyle name="SAPHierarchyCell2" xfId="29"/>
    <cellStyle name="SAPHierarchyCell3" xfId="30"/>
    <cellStyle name="SAPHierarchyCell4" xfId="31"/>
    <cellStyle name="SAPLockedDataCell" xfId="8"/>
    <cellStyle name="SAPLockedDataTotalCell" xfId="11"/>
    <cellStyle name="SAPMemberCell" xfId="25"/>
    <cellStyle name="SAPMemberTotalCell" xfId="26"/>
    <cellStyle name="SAPMessageText" xfId="24"/>
    <cellStyle name="SAPReadonlyDataCell" xfId="7"/>
    <cellStyle name="SAPReadonlyDataTotalCell" xfId="10"/>
    <cellStyle name="Title" xfId="49" builtinId="15" customBuiltin="1"/>
    <cellStyle name="Total" xfId="64" builtinId="25" customBuiltin="1"/>
    <cellStyle name="Warning Text" xfId="6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54</xdr:row>
      <xdr:rowOff>43370</xdr:rowOff>
    </xdr:from>
    <xdr:to>
      <xdr:col>8</xdr:col>
      <xdr:colOff>662940</xdr:colOff>
      <xdr:row>75</xdr:row>
      <xdr:rowOff>31946</xdr:rowOff>
    </xdr:to>
    <xdr:pic>
      <xdr:nvPicPr>
        <xdr:cNvPr id="2" name="Picture 1"/>
        <xdr:cNvPicPr>
          <a:picLocks noChangeAspect="1"/>
        </xdr:cNvPicPr>
      </xdr:nvPicPr>
      <xdr:blipFill>
        <a:blip xmlns:r="http://schemas.openxmlformats.org/officeDocument/2006/relationships" r:embed="rId1"/>
        <a:stretch>
          <a:fillRect/>
        </a:stretch>
      </xdr:blipFill>
      <xdr:spPr>
        <a:xfrm>
          <a:off x="579120" y="8013890"/>
          <a:ext cx="9212580" cy="3028956"/>
        </a:xfrm>
        <a:prstGeom prst="rect">
          <a:avLst/>
        </a:prstGeom>
      </xdr:spPr>
    </xdr:pic>
    <xdr:clientData/>
  </xdr:twoCellAnchor>
  <xdr:twoCellAnchor editAs="oneCell">
    <xdr:from>
      <xdr:col>0</xdr:col>
      <xdr:colOff>525780</xdr:colOff>
      <xdr:row>76</xdr:row>
      <xdr:rowOff>49180</xdr:rowOff>
    </xdr:from>
    <xdr:to>
      <xdr:col>8</xdr:col>
      <xdr:colOff>662940</xdr:colOff>
      <xdr:row>96</xdr:row>
      <xdr:rowOff>114300</xdr:rowOff>
    </xdr:to>
    <xdr:pic>
      <xdr:nvPicPr>
        <xdr:cNvPr id="3" name="Picture 2"/>
        <xdr:cNvPicPr>
          <a:picLocks noChangeAspect="1"/>
        </xdr:cNvPicPr>
      </xdr:nvPicPr>
      <xdr:blipFill>
        <a:blip xmlns:r="http://schemas.openxmlformats.org/officeDocument/2006/relationships" r:embed="rId2"/>
        <a:stretch>
          <a:fillRect/>
        </a:stretch>
      </xdr:blipFill>
      <xdr:spPr>
        <a:xfrm>
          <a:off x="525780" y="11204860"/>
          <a:ext cx="9265920" cy="29607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20Income%20Statement%20Dec%202022%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Allocated (CBR)"/>
      <sheetName val="Unallocated Detail (CBR)"/>
      <sheetName val="Unallocated Summary (CBR)"/>
      <sheetName val="Common by Account (CBR)"/>
      <sheetName val="==&gt;"/>
      <sheetName val="Allocators (CBR)"/>
      <sheetName val="FM"/>
      <sheetName val="Dec YTD"/>
      <sheetName val="topside"/>
    </sheetNames>
    <sheetDataSet>
      <sheetData sheetId="0"/>
      <sheetData sheetId="1">
        <row r="9">
          <cell r="B9">
            <v>2508927601.7400002</v>
          </cell>
          <cell r="C9">
            <v>1205997643.1699998</v>
          </cell>
        </row>
      </sheetData>
      <sheetData sheetId="2">
        <row r="29">
          <cell r="G29">
            <v>-1091.73</v>
          </cell>
        </row>
        <row r="30">
          <cell r="G30">
            <v>14470160.359999999</v>
          </cell>
        </row>
        <row r="31">
          <cell r="G31">
            <v>19386737.890000001</v>
          </cell>
        </row>
      </sheetData>
      <sheetData sheetId="3"/>
      <sheetData sheetId="4"/>
      <sheetData sheetId="5"/>
      <sheetData sheetId="6">
        <row r="70">
          <cell r="F70">
            <v>0.65659999999999996</v>
          </cell>
          <cell r="G70">
            <v>0.34339999999999998</v>
          </cell>
        </row>
      </sheetData>
      <sheetData sheetId="7"/>
      <sheetData sheetId="8"/>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customProperty" Target="../customProperty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0.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11.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25"/>
  <sheetData/>
  <pageMargins left="0.7" right="0.7" top="0.75" bottom="0.75" header="0.3" footer="0.3"/>
  <customProperties>
    <customPr name="_pios_id" r:id="rId1"/>
    <customPr name="CofWorksheetType" r:id="rId2"/>
    <customPr name="serializedData2"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workbookViewId="0">
      <selection activeCell="C12" sqref="C12"/>
    </sheetView>
  </sheetViews>
  <sheetFormatPr defaultColWidth="9.140625" defaultRowHeight="14.4" x14ac:dyDescent="0.3"/>
  <cols>
    <col min="1" max="1" width="9.140625" style="25"/>
    <col min="2" max="2" width="72.85546875" style="25" customWidth="1"/>
    <col min="3" max="3" width="15.85546875" style="25" bestFit="1" customWidth="1"/>
    <col min="4" max="4" width="18.42578125" style="25" bestFit="1" customWidth="1"/>
    <col min="5" max="5" width="17.42578125" style="25" bestFit="1" customWidth="1"/>
    <col min="6" max="16384" width="9.140625" style="25"/>
  </cols>
  <sheetData>
    <row r="1" spans="1:6" ht="15.6" thickTop="1" thickBot="1" x14ac:dyDescent="0.35">
      <c r="A1" s="20"/>
      <c r="B1" s="20"/>
      <c r="C1" s="21"/>
      <c r="D1" s="22"/>
      <c r="E1" s="23" t="s">
        <v>99</v>
      </c>
      <c r="F1" s="24"/>
    </row>
    <row r="2" spans="1:6" ht="15" thickTop="1" x14ac:dyDescent="0.3">
      <c r="A2" s="26" t="s">
        <v>100</v>
      </c>
      <c r="B2" s="27"/>
      <c r="C2" s="28"/>
      <c r="D2" s="29"/>
      <c r="E2" s="30"/>
      <c r="F2" s="24"/>
    </row>
    <row r="3" spans="1:6" x14ac:dyDescent="0.3">
      <c r="A3" s="30" t="s">
        <v>101</v>
      </c>
      <c r="B3" s="30"/>
      <c r="C3" s="28"/>
      <c r="D3" s="31"/>
      <c r="E3" s="32"/>
      <c r="F3" s="24"/>
    </row>
    <row r="4" spans="1:6" x14ac:dyDescent="0.3">
      <c r="A4" s="26" t="s">
        <v>204</v>
      </c>
      <c r="B4" s="27"/>
      <c r="C4" s="33"/>
      <c r="D4" s="34"/>
      <c r="E4" s="34"/>
      <c r="F4" s="24"/>
    </row>
    <row r="5" spans="1:6" x14ac:dyDescent="0.3">
      <c r="A5" s="26" t="s">
        <v>205</v>
      </c>
      <c r="B5" s="35"/>
      <c r="C5" s="33"/>
      <c r="D5" s="34"/>
      <c r="E5" s="34"/>
      <c r="F5" s="24"/>
    </row>
    <row r="6" spans="1:6" x14ac:dyDescent="0.3">
      <c r="A6" s="20"/>
      <c r="B6" s="35"/>
      <c r="C6" s="36"/>
      <c r="D6" s="24"/>
      <c r="E6" s="24"/>
      <c r="F6" s="24"/>
    </row>
    <row r="7" spans="1:6" x14ac:dyDescent="0.3">
      <c r="A7" s="20"/>
      <c r="B7" s="35"/>
      <c r="C7" s="36"/>
      <c r="D7" s="24"/>
      <c r="E7" s="24"/>
      <c r="F7" s="24"/>
    </row>
    <row r="8" spans="1:6" x14ac:dyDescent="0.3">
      <c r="A8" s="37"/>
      <c r="B8" s="38"/>
      <c r="C8" s="21"/>
      <c r="D8" s="39"/>
      <c r="E8" s="39"/>
      <c r="F8" s="24"/>
    </row>
    <row r="9" spans="1:6" x14ac:dyDescent="0.3">
      <c r="A9" s="40" t="s">
        <v>102</v>
      </c>
      <c r="B9" s="37"/>
      <c r="C9" s="41"/>
      <c r="D9" s="39"/>
      <c r="E9" s="39"/>
      <c r="F9" s="24"/>
    </row>
    <row r="10" spans="1:6" x14ac:dyDescent="0.3">
      <c r="A10" s="42" t="s">
        <v>103</v>
      </c>
      <c r="B10" s="43" t="s">
        <v>104</v>
      </c>
      <c r="C10" s="44" t="s">
        <v>105</v>
      </c>
      <c r="D10" s="42" t="s">
        <v>106</v>
      </c>
      <c r="E10" s="42" t="s">
        <v>107</v>
      </c>
      <c r="F10" s="24"/>
    </row>
    <row r="11" spans="1:6" x14ac:dyDescent="0.3">
      <c r="A11" s="22"/>
      <c r="B11" s="22"/>
      <c r="C11" s="21"/>
      <c r="D11" s="39"/>
      <c r="E11" s="45"/>
      <c r="F11" s="24"/>
    </row>
    <row r="12" spans="1:6" x14ac:dyDescent="0.3">
      <c r="A12" s="46">
        <v>1</v>
      </c>
      <c r="B12" s="47" t="s">
        <v>108</v>
      </c>
      <c r="C12" s="21">
        <f>'Excise Tax '!F49</f>
        <v>100603154.58500798</v>
      </c>
      <c r="D12" s="48">
        <f>'Excise Tax '!J49</f>
        <v>100605660.393852</v>
      </c>
      <c r="E12" s="48">
        <f>D12-C12</f>
        <v>2505.8088440150023</v>
      </c>
      <c r="F12" s="24"/>
    </row>
    <row r="13" spans="1:6" x14ac:dyDescent="0.3">
      <c r="A13" s="46">
        <v>2</v>
      </c>
      <c r="B13" s="49" t="s">
        <v>109</v>
      </c>
      <c r="C13" s="50">
        <f>'Filing Fees'!D15</f>
        <v>11286334.42</v>
      </c>
      <c r="D13" s="51">
        <f>'E Filing Fee Restated'!F38</f>
        <v>10381030.531480001</v>
      </c>
      <c r="E13" s="51">
        <f>D13-C13</f>
        <v>-905303.88851999864</v>
      </c>
      <c r="F13" s="24"/>
    </row>
    <row r="14" spans="1:6" x14ac:dyDescent="0.3">
      <c r="A14" s="46">
        <v>3</v>
      </c>
      <c r="B14" s="47" t="s">
        <v>110</v>
      </c>
      <c r="C14" s="52">
        <f>C12+C13</f>
        <v>111889489.00500798</v>
      </c>
      <c r="D14" s="52">
        <f>D12+D13</f>
        <v>110986690.92533199</v>
      </c>
      <c r="E14" s="52">
        <f>E12+E13</f>
        <v>-902798.07967598364</v>
      </c>
      <c r="F14" s="24"/>
    </row>
    <row r="15" spans="1:6" x14ac:dyDescent="0.3">
      <c r="A15" s="46">
        <v>4</v>
      </c>
      <c r="B15" s="47"/>
      <c r="C15" s="21"/>
      <c r="D15" s="53"/>
      <c r="E15" s="53"/>
      <c r="F15" s="24"/>
    </row>
    <row r="16" spans="1:6" x14ac:dyDescent="0.3">
      <c r="A16" s="46">
        <v>5</v>
      </c>
      <c r="B16" s="54" t="s">
        <v>111</v>
      </c>
      <c r="C16" s="21"/>
      <c r="D16" s="53"/>
      <c r="E16" s="55">
        <f>E14</f>
        <v>-902798.07967598364</v>
      </c>
      <c r="F16" s="24"/>
    </row>
    <row r="17" spans="1:6" x14ac:dyDescent="0.3">
      <c r="A17" s="46">
        <v>6</v>
      </c>
      <c r="B17" s="54" t="s">
        <v>112</v>
      </c>
      <c r="C17" s="56">
        <v>0.21</v>
      </c>
      <c r="D17" s="53"/>
      <c r="E17" s="57">
        <f>ROUND(-E16*C17,0)</f>
        <v>189588</v>
      </c>
      <c r="F17" s="24"/>
    </row>
    <row r="18" spans="1:6" ht="15" thickBot="1" x14ac:dyDescent="0.35">
      <c r="A18" s="46">
        <v>7</v>
      </c>
      <c r="B18" s="54" t="s">
        <v>113</v>
      </c>
      <c r="C18" s="21"/>
      <c r="D18" s="53"/>
      <c r="E18" s="58">
        <f>-E16-E17</f>
        <v>713210.07967598364</v>
      </c>
      <c r="F18" s="24"/>
    </row>
    <row r="19" spans="1:6" ht="15" thickTop="1" x14ac:dyDescent="0.3">
      <c r="A19" s="46"/>
      <c r="B19" s="20"/>
      <c r="C19" s="21"/>
      <c r="D19" s="39"/>
      <c r="E19" s="39"/>
      <c r="F19" s="24"/>
    </row>
  </sheetData>
  <pageMargins left="0.7" right="0.7" top="0.75" bottom="0.75" header="0.3" footer="0.3"/>
  <pageSetup scale="94"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B39" sqref="B39"/>
    </sheetView>
  </sheetViews>
  <sheetFormatPr defaultColWidth="9.140625" defaultRowHeight="14.4" x14ac:dyDescent="0.3"/>
  <cols>
    <col min="1" max="1" width="9.140625" style="25"/>
    <col min="2" max="2" width="60.42578125" style="25" bestFit="1" customWidth="1"/>
    <col min="3" max="4" width="16.42578125" style="25" bestFit="1" customWidth="1"/>
    <col min="5" max="5" width="17.28515625" style="25" bestFit="1" customWidth="1"/>
    <col min="6" max="16384" width="9.140625" style="25"/>
  </cols>
  <sheetData>
    <row r="1" spans="1:6" ht="15.6" thickTop="1" thickBot="1" x14ac:dyDescent="0.35">
      <c r="A1" s="20"/>
      <c r="B1" s="20"/>
      <c r="C1" s="21"/>
      <c r="D1" s="22"/>
      <c r="E1" s="23" t="s">
        <v>114</v>
      </c>
    </row>
    <row r="2" spans="1:6" ht="15" thickTop="1" x14ac:dyDescent="0.3">
      <c r="A2" s="26" t="s">
        <v>115</v>
      </c>
      <c r="B2" s="27"/>
      <c r="C2" s="28"/>
      <c r="D2" s="29"/>
      <c r="E2" s="30"/>
    </row>
    <row r="3" spans="1:6" x14ac:dyDescent="0.3">
      <c r="A3" s="30" t="s">
        <v>101</v>
      </c>
      <c r="B3" s="30"/>
      <c r="C3" s="28"/>
      <c r="D3" s="31"/>
      <c r="E3" s="32"/>
    </row>
    <row r="4" spans="1:6" x14ac:dyDescent="0.3">
      <c r="A4" s="26" t="str">
        <f>'Lead E'!A4</f>
        <v>FOR THE TWELVE MONTHS ENDED DEC 31, 2022</v>
      </c>
      <c r="B4" s="27"/>
      <c r="C4" s="33"/>
      <c r="D4" s="34"/>
      <c r="E4" s="34"/>
    </row>
    <row r="5" spans="1:6" x14ac:dyDescent="0.3">
      <c r="A5" s="26" t="str">
        <f>'Lead E'!A5</f>
        <v>DECEMBER 2022 CBR</v>
      </c>
      <c r="B5" s="35"/>
      <c r="C5" s="33"/>
      <c r="D5" s="34"/>
      <c r="E5" s="34"/>
    </row>
    <row r="6" spans="1:6" x14ac:dyDescent="0.3">
      <c r="A6" s="20"/>
      <c r="B6" s="35"/>
      <c r="C6" s="36"/>
      <c r="D6" s="24"/>
      <c r="E6" s="24"/>
    </row>
    <row r="7" spans="1:6" x14ac:dyDescent="0.3">
      <c r="A7" s="20"/>
      <c r="B7" s="35"/>
      <c r="C7" s="36"/>
      <c r="D7" s="24"/>
      <c r="E7" s="24"/>
    </row>
    <row r="8" spans="1:6" x14ac:dyDescent="0.3">
      <c r="A8" s="37"/>
      <c r="B8" s="38"/>
      <c r="C8" s="21"/>
      <c r="D8" s="39"/>
      <c r="E8" s="39"/>
    </row>
    <row r="9" spans="1:6" x14ac:dyDescent="0.3">
      <c r="A9" s="40" t="s">
        <v>102</v>
      </c>
      <c r="B9" s="37"/>
      <c r="C9" s="41"/>
      <c r="D9" s="39"/>
      <c r="E9" s="39"/>
    </row>
    <row r="10" spans="1:6" x14ac:dyDescent="0.3">
      <c r="A10" s="42" t="s">
        <v>103</v>
      </c>
      <c r="B10" s="43" t="s">
        <v>104</v>
      </c>
      <c r="C10" s="44" t="s">
        <v>105</v>
      </c>
      <c r="D10" s="42" t="s">
        <v>106</v>
      </c>
      <c r="E10" s="42" t="s">
        <v>107</v>
      </c>
    </row>
    <row r="11" spans="1:6" x14ac:dyDescent="0.3">
      <c r="A11" s="22"/>
      <c r="B11" s="22"/>
      <c r="C11" s="21"/>
      <c r="D11" s="39"/>
      <c r="E11" s="45"/>
      <c r="F11" s="59"/>
    </row>
    <row r="12" spans="1:6" x14ac:dyDescent="0.3">
      <c r="A12" s="46">
        <v>1</v>
      </c>
      <c r="B12" s="47" t="s">
        <v>108</v>
      </c>
      <c r="C12" s="60">
        <f>'Excise Tax '!G49</f>
        <v>47092812.644992001</v>
      </c>
      <c r="D12" s="60">
        <f>'Excise Tax '!K49</f>
        <v>47093908.306148008</v>
      </c>
      <c r="E12" s="60">
        <f>D12-C12</f>
        <v>1095.6611560061574</v>
      </c>
      <c r="F12" s="61"/>
    </row>
    <row r="13" spans="1:6" x14ac:dyDescent="0.3">
      <c r="A13" s="46">
        <v>2</v>
      </c>
      <c r="B13" s="49" t="s">
        <v>109</v>
      </c>
      <c r="C13" s="62">
        <f>'Filing Fees'!D28</f>
        <v>4828820.62</v>
      </c>
      <c r="D13" s="62">
        <f>'G Filing Fee Restated'!F38</f>
        <v>4823840.5726799993</v>
      </c>
      <c r="E13" s="62">
        <f>D13-C13</f>
        <v>-4980.0473200008273</v>
      </c>
      <c r="F13" s="61"/>
    </row>
    <row r="14" spans="1:6" x14ac:dyDescent="0.3">
      <c r="A14" s="46">
        <v>3</v>
      </c>
      <c r="B14" s="47" t="s">
        <v>110</v>
      </c>
      <c r="C14" s="63">
        <f>C12+C13</f>
        <v>51921633.264991999</v>
      </c>
      <c r="D14" s="63">
        <f>D12+D13</f>
        <v>51917748.878828004</v>
      </c>
      <c r="E14" s="63">
        <f>E12+E13</f>
        <v>-3884.3861639946699</v>
      </c>
      <c r="F14" s="61"/>
    </row>
    <row r="15" spans="1:6" x14ac:dyDescent="0.3">
      <c r="A15" s="46">
        <v>4</v>
      </c>
      <c r="B15" s="47"/>
      <c r="C15" s="60"/>
      <c r="D15" s="64"/>
      <c r="E15" s="64"/>
      <c r="F15" s="65"/>
    </row>
    <row r="16" spans="1:6" x14ac:dyDescent="0.3">
      <c r="A16" s="46">
        <v>5</v>
      </c>
      <c r="B16" s="54" t="s">
        <v>111</v>
      </c>
      <c r="C16" s="60"/>
      <c r="D16" s="64"/>
      <c r="E16" s="66">
        <f>E14</f>
        <v>-3884.3861639946699</v>
      </c>
      <c r="F16" s="65"/>
    </row>
    <row r="17" spans="1:6" x14ac:dyDescent="0.3">
      <c r="A17" s="46">
        <v>6</v>
      </c>
      <c r="B17" s="54" t="s">
        <v>112</v>
      </c>
      <c r="C17" s="56">
        <v>0.21</v>
      </c>
      <c r="D17" s="64"/>
      <c r="E17" s="67">
        <f>(-E16*C17)</f>
        <v>815.72109443888064</v>
      </c>
      <c r="F17" s="65"/>
    </row>
    <row r="18" spans="1:6" ht="15" thickBot="1" x14ac:dyDescent="0.35">
      <c r="A18" s="46">
        <v>7</v>
      </c>
      <c r="B18" s="54" t="s">
        <v>113</v>
      </c>
      <c r="C18" s="60"/>
      <c r="D18" s="64"/>
      <c r="E18" s="68">
        <f>-E16-E17</f>
        <v>3068.6650695557892</v>
      </c>
      <c r="F18" s="65"/>
    </row>
    <row r="19" spans="1:6" ht="15" thickTop="1" x14ac:dyDescent="0.3">
      <c r="A19" s="46"/>
      <c r="B19" s="20"/>
      <c r="C19" s="69"/>
      <c r="D19" s="70"/>
      <c r="E19" s="70"/>
      <c r="F19" s="65"/>
    </row>
  </sheetData>
  <pageMargins left="0.7" right="0.7" top="0.75" bottom="0.75" header="0.3" footer="0.3"/>
  <pageSetup scale="94"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B1" workbookViewId="0">
      <selection activeCell="F41" sqref="F41"/>
    </sheetView>
  </sheetViews>
  <sheetFormatPr defaultColWidth="9.140625" defaultRowHeight="11.4" x14ac:dyDescent="0.2"/>
  <cols>
    <col min="1" max="1" width="10.85546875" style="6" customWidth="1"/>
    <col min="2" max="2" width="44.28515625" style="6" customWidth="1"/>
    <col min="3" max="3" width="22" style="6" customWidth="1"/>
    <col min="4" max="5" width="17.85546875" style="6" bestFit="1" customWidth="1"/>
    <col min="6" max="7" width="19.42578125" style="6" bestFit="1" customWidth="1"/>
    <col min="8" max="8" width="19.42578125" style="6" customWidth="1"/>
    <col min="9" max="9" width="16.28515625" style="6" bestFit="1" customWidth="1"/>
    <col min="10" max="11" width="19.42578125" style="6" bestFit="1" customWidth="1"/>
    <col min="12" max="12" width="13.42578125" style="117" bestFit="1" customWidth="1"/>
    <col min="13" max="16" width="14.42578125" style="6" customWidth="1"/>
    <col min="17" max="16384" width="9.140625" style="6"/>
  </cols>
  <sheetData>
    <row r="1" spans="1:14" ht="12" x14ac:dyDescent="0.25">
      <c r="A1" s="107" t="s">
        <v>1</v>
      </c>
      <c r="B1" s="101"/>
      <c r="C1" s="107" t="s">
        <v>74</v>
      </c>
      <c r="D1" s="109" t="s">
        <v>2</v>
      </c>
      <c r="E1"/>
      <c r="F1" s="127" t="s">
        <v>84</v>
      </c>
      <c r="G1" s="128"/>
      <c r="H1" s="127" t="s">
        <v>91</v>
      </c>
      <c r="I1" s="128"/>
      <c r="J1" s="127" t="s">
        <v>85</v>
      </c>
      <c r="K1" s="128"/>
      <c r="L1" s="120" t="s">
        <v>87</v>
      </c>
    </row>
    <row r="2" spans="1:14" ht="12" x14ac:dyDescent="0.25">
      <c r="A2" s="107" t="s">
        <v>1</v>
      </c>
      <c r="B2" s="101"/>
      <c r="C2" s="107" t="s">
        <v>74</v>
      </c>
      <c r="D2" s="109" t="s">
        <v>2</v>
      </c>
      <c r="E2"/>
      <c r="F2" s="4" t="s">
        <v>90</v>
      </c>
      <c r="G2" s="5" t="s">
        <v>88</v>
      </c>
      <c r="H2" s="4" t="s">
        <v>90</v>
      </c>
      <c r="I2" s="5" t="s">
        <v>88</v>
      </c>
      <c r="J2" s="4" t="s">
        <v>90</v>
      </c>
      <c r="K2" s="5" t="s">
        <v>88</v>
      </c>
      <c r="L2" s="121" t="s">
        <v>89</v>
      </c>
    </row>
    <row r="3" spans="1:14" ht="12" x14ac:dyDescent="0.25">
      <c r="A3" s="108" t="s">
        <v>75</v>
      </c>
      <c r="B3" s="110" t="s">
        <v>76</v>
      </c>
      <c r="C3" s="108" t="s">
        <v>215</v>
      </c>
      <c r="D3" s="104">
        <v>10292735.85</v>
      </c>
      <c r="E3" s="104">
        <v>10292735.85</v>
      </c>
      <c r="F3" s="2">
        <f t="shared" ref="F3:F14" si="0">IF($A3="40810002",$E3,IF($A3="40810602",$E3*$N$4,0))</f>
        <v>10292735.85</v>
      </c>
      <c r="G3" s="3">
        <f t="shared" ref="G3:G14" si="1">IF($A3="40810302",$E3,IF($A3="40810602",$E3*$N$5,0))</f>
        <v>0</v>
      </c>
      <c r="H3" s="2">
        <v>-0.01</v>
      </c>
      <c r="I3" s="3">
        <f>IF(L3=1,-G3,0)</f>
        <v>0</v>
      </c>
      <c r="J3" s="2">
        <f>F3+H3</f>
        <v>10292735.84</v>
      </c>
      <c r="K3" s="3">
        <f>G3+I3</f>
        <v>0</v>
      </c>
      <c r="L3" s="122">
        <v>1</v>
      </c>
      <c r="M3" s="1" t="s">
        <v>92</v>
      </c>
      <c r="N3" s="1"/>
    </row>
    <row r="4" spans="1:14" ht="12" x14ac:dyDescent="0.25">
      <c r="A4" s="108" t="s">
        <v>75</v>
      </c>
      <c r="B4" s="110" t="s">
        <v>76</v>
      </c>
      <c r="C4" s="108" t="s">
        <v>216</v>
      </c>
      <c r="D4" s="104">
        <v>8848771.0700000003</v>
      </c>
      <c r="E4" s="104">
        <v>8848771.0700000003</v>
      </c>
      <c r="F4" s="2">
        <f t="shared" si="0"/>
        <v>8848771.0700000003</v>
      </c>
      <c r="G4" s="3">
        <f t="shared" si="1"/>
        <v>0</v>
      </c>
      <c r="H4" s="2">
        <f t="shared" ref="H4:H42" si="2">IF(L4=1,-F4,0)</f>
        <v>0</v>
      </c>
      <c r="I4" s="3">
        <f t="shared" ref="I4:I42" si="3">IF(L4=1,-G4,0)</f>
        <v>0</v>
      </c>
      <c r="J4" s="2">
        <f t="shared" ref="J4:J42" si="4">F4+H4</f>
        <v>8848771.0700000003</v>
      </c>
      <c r="K4" s="3">
        <f t="shared" ref="K4:K42" si="5">G4+I4</f>
        <v>0</v>
      </c>
      <c r="L4" s="122"/>
      <c r="M4" s="1" t="s">
        <v>86</v>
      </c>
      <c r="N4" s="99">
        <f>'[1]Allocators (CBR)'!$F$70</f>
        <v>0.65659999999999996</v>
      </c>
    </row>
    <row r="5" spans="1:14" ht="12" x14ac:dyDescent="0.25">
      <c r="A5" s="108" t="s">
        <v>75</v>
      </c>
      <c r="B5" s="110" t="s">
        <v>76</v>
      </c>
      <c r="C5" s="108" t="s">
        <v>217</v>
      </c>
      <c r="D5" s="104">
        <v>8396583.4600000009</v>
      </c>
      <c r="E5" s="104">
        <v>8396583.4600000009</v>
      </c>
      <c r="F5" s="2">
        <f t="shared" si="0"/>
        <v>8396583.4600000009</v>
      </c>
      <c r="G5" s="3">
        <f t="shared" si="1"/>
        <v>0</v>
      </c>
      <c r="H5" s="2">
        <f t="shared" si="2"/>
        <v>0</v>
      </c>
      <c r="I5" s="3">
        <f t="shared" si="3"/>
        <v>0</v>
      </c>
      <c r="J5" s="2">
        <f t="shared" si="4"/>
        <v>8396583.4600000009</v>
      </c>
      <c r="K5" s="3">
        <f t="shared" si="5"/>
        <v>0</v>
      </c>
      <c r="L5" s="122"/>
      <c r="M5" s="1" t="s">
        <v>88</v>
      </c>
      <c r="N5" s="99">
        <f>'[1]Allocators (CBR)'!$G$70</f>
        <v>0.34339999999999998</v>
      </c>
    </row>
    <row r="6" spans="1:14" x14ac:dyDescent="0.2">
      <c r="A6" s="108" t="s">
        <v>75</v>
      </c>
      <c r="B6" s="110" t="s">
        <v>76</v>
      </c>
      <c r="C6" s="108" t="s">
        <v>218</v>
      </c>
      <c r="D6" s="104">
        <v>7976316.9800000004</v>
      </c>
      <c r="E6" s="104">
        <v>7976316.9800000004</v>
      </c>
      <c r="F6" s="2">
        <f t="shared" si="0"/>
        <v>7976316.9800000004</v>
      </c>
      <c r="G6" s="3">
        <f t="shared" si="1"/>
        <v>0</v>
      </c>
      <c r="H6" s="2">
        <f t="shared" si="2"/>
        <v>0</v>
      </c>
      <c r="I6" s="3">
        <f t="shared" si="3"/>
        <v>0</v>
      </c>
      <c r="J6" s="2">
        <f t="shared" si="4"/>
        <v>7976316.9800000004</v>
      </c>
      <c r="K6" s="3">
        <f t="shared" si="5"/>
        <v>0</v>
      </c>
      <c r="L6" s="122"/>
      <c r="N6" s="117"/>
    </row>
    <row r="7" spans="1:14" x14ac:dyDescent="0.2">
      <c r="A7" s="108" t="s">
        <v>75</v>
      </c>
      <c r="B7" s="110" t="s">
        <v>76</v>
      </c>
      <c r="C7" s="108" t="s">
        <v>219</v>
      </c>
      <c r="D7" s="104">
        <v>7241268.6799999997</v>
      </c>
      <c r="E7" s="104">
        <v>7241268.6799999997</v>
      </c>
      <c r="F7" s="2">
        <f t="shared" si="0"/>
        <v>7241268.6799999997</v>
      </c>
      <c r="G7" s="3">
        <f t="shared" si="1"/>
        <v>0</v>
      </c>
      <c r="H7" s="2">
        <f t="shared" si="2"/>
        <v>0</v>
      </c>
      <c r="I7" s="3">
        <f t="shared" si="3"/>
        <v>0</v>
      </c>
      <c r="J7" s="2">
        <f t="shared" si="4"/>
        <v>7241268.6799999997</v>
      </c>
      <c r="K7" s="3">
        <f t="shared" si="5"/>
        <v>0</v>
      </c>
      <c r="L7" s="122"/>
    </row>
    <row r="8" spans="1:14" x14ac:dyDescent="0.2">
      <c r="A8" s="108" t="s">
        <v>75</v>
      </c>
      <c r="B8" s="110" t="s">
        <v>76</v>
      </c>
      <c r="C8" s="108" t="s">
        <v>220</v>
      </c>
      <c r="D8" s="104">
        <v>6569233.25</v>
      </c>
      <c r="E8" s="104">
        <v>6569233.25</v>
      </c>
      <c r="F8" s="2">
        <f t="shared" si="0"/>
        <v>6569233.25</v>
      </c>
      <c r="G8" s="3">
        <f t="shared" si="1"/>
        <v>0</v>
      </c>
      <c r="H8" s="2">
        <f t="shared" si="2"/>
        <v>0</v>
      </c>
      <c r="I8" s="3">
        <f t="shared" si="3"/>
        <v>0</v>
      </c>
      <c r="J8" s="2">
        <f t="shared" si="4"/>
        <v>6569233.25</v>
      </c>
      <c r="K8" s="3">
        <f t="shared" si="5"/>
        <v>0</v>
      </c>
      <c r="L8" s="122"/>
    </row>
    <row r="9" spans="1:14" x14ac:dyDescent="0.2">
      <c r="A9" s="108" t="s">
        <v>75</v>
      </c>
      <c r="B9" s="110" t="s">
        <v>76</v>
      </c>
      <c r="C9" s="108" t="s">
        <v>221</v>
      </c>
      <c r="D9" s="104">
        <v>7115906.4199999999</v>
      </c>
      <c r="E9" s="104">
        <v>7115906.4199999999</v>
      </c>
      <c r="F9" s="2">
        <f t="shared" si="0"/>
        <v>7115906.4199999999</v>
      </c>
      <c r="G9" s="3">
        <f t="shared" si="1"/>
        <v>0</v>
      </c>
      <c r="H9" s="2">
        <f t="shared" si="2"/>
        <v>0</v>
      </c>
      <c r="I9" s="3">
        <f t="shared" si="3"/>
        <v>0</v>
      </c>
      <c r="J9" s="2">
        <f t="shared" si="4"/>
        <v>7115906.4199999999</v>
      </c>
      <c r="K9" s="3">
        <f t="shared" si="5"/>
        <v>0</v>
      </c>
      <c r="L9" s="122"/>
    </row>
    <row r="10" spans="1:14" x14ac:dyDescent="0.2">
      <c r="A10" s="108" t="s">
        <v>75</v>
      </c>
      <c r="B10" s="110" t="s">
        <v>76</v>
      </c>
      <c r="C10" s="108" t="s">
        <v>222</v>
      </c>
      <c r="D10" s="104">
        <v>7597969.3399999999</v>
      </c>
      <c r="E10" s="104">
        <v>7597969.3399999999</v>
      </c>
      <c r="F10" s="2">
        <f t="shared" si="0"/>
        <v>7597969.3399999999</v>
      </c>
      <c r="G10" s="3">
        <f t="shared" si="1"/>
        <v>0</v>
      </c>
      <c r="H10" s="2">
        <f t="shared" si="2"/>
        <v>0</v>
      </c>
      <c r="I10" s="3">
        <f t="shared" si="3"/>
        <v>0</v>
      </c>
      <c r="J10" s="2">
        <f t="shared" si="4"/>
        <v>7597969.3399999999</v>
      </c>
      <c r="K10" s="3">
        <f t="shared" si="5"/>
        <v>0</v>
      </c>
      <c r="L10" s="122"/>
    </row>
    <row r="11" spans="1:14" x14ac:dyDescent="0.2">
      <c r="A11" s="108" t="s">
        <v>75</v>
      </c>
      <c r="B11" s="110" t="s">
        <v>76</v>
      </c>
      <c r="C11" s="108" t="s">
        <v>223</v>
      </c>
      <c r="D11" s="104">
        <v>6836421.3099999996</v>
      </c>
      <c r="E11" s="104">
        <v>6836421.3099999996</v>
      </c>
      <c r="F11" s="2">
        <f t="shared" si="0"/>
        <v>6836421.3099999996</v>
      </c>
      <c r="G11" s="3">
        <f t="shared" si="1"/>
        <v>0</v>
      </c>
      <c r="H11" s="2">
        <f t="shared" si="2"/>
        <v>0</v>
      </c>
      <c r="I11" s="3">
        <f t="shared" si="3"/>
        <v>0</v>
      </c>
      <c r="J11" s="2">
        <f t="shared" si="4"/>
        <v>6836421.3099999996</v>
      </c>
      <c r="K11" s="3">
        <f t="shared" si="5"/>
        <v>0</v>
      </c>
      <c r="L11" s="122"/>
    </row>
    <row r="12" spans="1:14" x14ac:dyDescent="0.2">
      <c r="A12" s="108" t="s">
        <v>75</v>
      </c>
      <c r="B12" s="110" t="s">
        <v>76</v>
      </c>
      <c r="C12" s="108" t="s">
        <v>224</v>
      </c>
      <c r="D12" s="104">
        <v>7422685.6299999999</v>
      </c>
      <c r="E12" s="104">
        <v>7422685.6299999999</v>
      </c>
      <c r="F12" s="2">
        <f t="shared" si="0"/>
        <v>7422685.6299999999</v>
      </c>
      <c r="G12" s="3">
        <f t="shared" si="1"/>
        <v>0</v>
      </c>
      <c r="H12" s="2">
        <f t="shared" si="2"/>
        <v>0</v>
      </c>
      <c r="I12" s="3">
        <f t="shared" si="3"/>
        <v>0</v>
      </c>
      <c r="J12" s="2">
        <f t="shared" si="4"/>
        <v>7422685.6299999999</v>
      </c>
      <c r="K12" s="3">
        <f t="shared" si="5"/>
        <v>0</v>
      </c>
      <c r="L12" s="122"/>
    </row>
    <row r="13" spans="1:14" x14ac:dyDescent="0.2">
      <c r="A13" s="108" t="s">
        <v>75</v>
      </c>
      <c r="B13" s="110" t="s">
        <v>76</v>
      </c>
      <c r="C13" s="108" t="s">
        <v>225</v>
      </c>
      <c r="D13" s="104">
        <v>9691682.9600000009</v>
      </c>
      <c r="E13" s="104">
        <v>9691682.9600000009</v>
      </c>
      <c r="F13" s="2">
        <f t="shared" si="0"/>
        <v>9691682.9600000009</v>
      </c>
      <c r="G13" s="3">
        <f t="shared" si="1"/>
        <v>0</v>
      </c>
      <c r="H13" s="2">
        <f t="shared" si="2"/>
        <v>0</v>
      </c>
      <c r="I13" s="3">
        <f t="shared" si="3"/>
        <v>0</v>
      </c>
      <c r="J13" s="2">
        <f t="shared" si="4"/>
        <v>9691682.9600000009</v>
      </c>
      <c r="K13" s="3">
        <f t="shared" si="5"/>
        <v>0</v>
      </c>
      <c r="L13" s="122"/>
    </row>
    <row r="14" spans="1:14" x14ac:dyDescent="0.2">
      <c r="A14" s="108" t="s">
        <v>75</v>
      </c>
      <c r="B14" s="110" t="s">
        <v>76</v>
      </c>
      <c r="C14" s="108" t="s">
        <v>226</v>
      </c>
      <c r="D14" s="104">
        <v>10752517.27</v>
      </c>
      <c r="E14" s="104">
        <v>10752517.27</v>
      </c>
      <c r="F14" s="2">
        <f t="shared" si="0"/>
        <v>10752517.27</v>
      </c>
      <c r="G14" s="3">
        <f t="shared" si="1"/>
        <v>0</v>
      </c>
      <c r="H14" s="2">
        <v>0.01</v>
      </c>
      <c r="I14" s="3">
        <f t="shared" si="3"/>
        <v>0</v>
      </c>
      <c r="J14" s="2">
        <f t="shared" si="4"/>
        <v>10752517.279999999</v>
      </c>
      <c r="K14" s="3">
        <f t="shared" si="5"/>
        <v>0</v>
      </c>
      <c r="L14" s="122">
        <v>2</v>
      </c>
    </row>
    <row r="15" spans="1:14" x14ac:dyDescent="0.2">
      <c r="A15" s="108" t="s">
        <v>75</v>
      </c>
      <c r="B15" s="110" t="s">
        <v>76</v>
      </c>
      <c r="C15" s="113" t="s">
        <v>97</v>
      </c>
      <c r="D15" s="112"/>
      <c r="E15" s="112"/>
      <c r="F15" s="2"/>
      <c r="G15" s="3"/>
      <c r="H15" s="2"/>
      <c r="I15" s="3"/>
      <c r="J15" s="2"/>
      <c r="K15" s="3"/>
      <c r="L15" s="122"/>
    </row>
    <row r="16" spans="1:14" x14ac:dyDescent="0.2">
      <c r="A16" s="108" t="s">
        <v>77</v>
      </c>
      <c r="B16" s="110" t="s">
        <v>76</v>
      </c>
      <c r="C16" s="108" t="s">
        <v>215</v>
      </c>
      <c r="D16" s="104">
        <v>6344899.8700000001</v>
      </c>
      <c r="E16" s="104">
        <v>6344899.8700000001</v>
      </c>
      <c r="F16" s="2">
        <f t="shared" ref="F16:F27" si="6">IF($A16="40810002",$E16,IF($A16="40810602",$E16*$N$4,0))</f>
        <v>0</v>
      </c>
      <c r="G16" s="3">
        <f t="shared" ref="G16:G27" si="7">IF($A16="40810302",$E16,IF($A16="40810602",$E16*$N$5,0))</f>
        <v>6344899.8700000001</v>
      </c>
      <c r="H16" s="2">
        <f t="shared" si="2"/>
        <v>0</v>
      </c>
      <c r="I16" s="3">
        <f t="shared" si="3"/>
        <v>0</v>
      </c>
      <c r="J16" s="2">
        <f t="shared" si="4"/>
        <v>0</v>
      </c>
      <c r="K16" s="3">
        <f t="shared" si="5"/>
        <v>6344899.8700000001</v>
      </c>
      <c r="L16" s="122"/>
    </row>
    <row r="17" spans="1:12" x14ac:dyDescent="0.2">
      <c r="A17" s="108" t="s">
        <v>77</v>
      </c>
      <c r="B17" s="110" t="s">
        <v>76</v>
      </c>
      <c r="C17" s="108" t="s">
        <v>216</v>
      </c>
      <c r="D17" s="104">
        <v>5360847.78</v>
      </c>
      <c r="E17" s="104">
        <v>5360847.78</v>
      </c>
      <c r="F17" s="2">
        <f t="shared" si="6"/>
        <v>0</v>
      </c>
      <c r="G17" s="3">
        <f t="shared" si="7"/>
        <v>5360847.78</v>
      </c>
      <c r="H17" s="2">
        <f t="shared" si="2"/>
        <v>0</v>
      </c>
      <c r="I17" s="3">
        <f t="shared" si="3"/>
        <v>0</v>
      </c>
      <c r="J17" s="2">
        <f t="shared" si="4"/>
        <v>0</v>
      </c>
      <c r="K17" s="3">
        <f t="shared" si="5"/>
        <v>5360847.78</v>
      </c>
      <c r="L17" s="122"/>
    </row>
    <row r="18" spans="1:12" x14ac:dyDescent="0.2">
      <c r="A18" s="108" t="s">
        <v>77</v>
      </c>
      <c r="B18" s="110" t="s">
        <v>76</v>
      </c>
      <c r="C18" s="108" t="s">
        <v>217</v>
      </c>
      <c r="D18" s="104">
        <v>4685553.29</v>
      </c>
      <c r="E18" s="104">
        <v>4685553.29</v>
      </c>
      <c r="F18" s="2">
        <f t="shared" si="6"/>
        <v>0</v>
      </c>
      <c r="G18" s="3">
        <f t="shared" si="7"/>
        <v>4685553.29</v>
      </c>
      <c r="H18" s="2">
        <f t="shared" si="2"/>
        <v>0</v>
      </c>
      <c r="I18" s="3">
        <f t="shared" si="3"/>
        <v>0</v>
      </c>
      <c r="J18" s="2">
        <f t="shared" si="4"/>
        <v>0</v>
      </c>
      <c r="K18" s="3">
        <f t="shared" si="5"/>
        <v>4685553.29</v>
      </c>
      <c r="L18" s="122"/>
    </row>
    <row r="19" spans="1:12" x14ac:dyDescent="0.2">
      <c r="A19" s="108" t="s">
        <v>77</v>
      </c>
      <c r="B19" s="110" t="s">
        <v>76</v>
      </c>
      <c r="C19" s="108" t="s">
        <v>218</v>
      </c>
      <c r="D19" s="104">
        <v>4134760.36</v>
      </c>
      <c r="E19" s="104">
        <v>4134760.36</v>
      </c>
      <c r="F19" s="2">
        <f t="shared" si="6"/>
        <v>0</v>
      </c>
      <c r="G19" s="3">
        <f t="shared" si="7"/>
        <v>4134760.36</v>
      </c>
      <c r="H19" s="2">
        <f t="shared" si="2"/>
        <v>0</v>
      </c>
      <c r="I19" s="3">
        <f t="shared" si="3"/>
        <v>0</v>
      </c>
      <c r="J19" s="2">
        <f t="shared" si="4"/>
        <v>0</v>
      </c>
      <c r="K19" s="3">
        <f t="shared" si="5"/>
        <v>4134760.36</v>
      </c>
      <c r="L19" s="122"/>
    </row>
    <row r="20" spans="1:12" x14ac:dyDescent="0.2">
      <c r="A20" s="108" t="s">
        <v>77</v>
      </c>
      <c r="B20" s="110" t="s">
        <v>76</v>
      </c>
      <c r="C20" s="108" t="s">
        <v>219</v>
      </c>
      <c r="D20" s="104">
        <v>3014208.1</v>
      </c>
      <c r="E20" s="104">
        <v>3014208.1</v>
      </c>
      <c r="F20" s="2">
        <f t="shared" si="6"/>
        <v>0</v>
      </c>
      <c r="G20" s="3">
        <f t="shared" si="7"/>
        <v>3014208.1</v>
      </c>
      <c r="H20" s="2">
        <f t="shared" si="2"/>
        <v>0</v>
      </c>
      <c r="I20" s="3">
        <f t="shared" si="3"/>
        <v>0</v>
      </c>
      <c r="J20" s="2">
        <f t="shared" si="4"/>
        <v>0</v>
      </c>
      <c r="K20" s="3">
        <f t="shared" si="5"/>
        <v>3014208.1</v>
      </c>
      <c r="L20" s="122"/>
    </row>
    <row r="21" spans="1:12" x14ac:dyDescent="0.2">
      <c r="A21" s="108" t="s">
        <v>77</v>
      </c>
      <c r="B21" s="110" t="s">
        <v>76</v>
      </c>
      <c r="C21" s="108" t="s">
        <v>220</v>
      </c>
      <c r="D21" s="104">
        <v>2047295.08</v>
      </c>
      <c r="E21" s="104">
        <v>2047295.08</v>
      </c>
      <c r="F21" s="2">
        <f t="shared" si="6"/>
        <v>0</v>
      </c>
      <c r="G21" s="3">
        <f t="shared" si="7"/>
        <v>2047295.08</v>
      </c>
      <c r="H21" s="2">
        <f t="shared" si="2"/>
        <v>0</v>
      </c>
      <c r="I21" s="3">
        <f t="shared" si="3"/>
        <v>0</v>
      </c>
      <c r="J21" s="2">
        <f t="shared" si="4"/>
        <v>0</v>
      </c>
      <c r="K21" s="3">
        <f t="shared" si="5"/>
        <v>2047295.08</v>
      </c>
      <c r="L21" s="122"/>
    </row>
    <row r="22" spans="1:12" x14ac:dyDescent="0.2">
      <c r="A22" s="108" t="s">
        <v>77</v>
      </c>
      <c r="B22" s="110" t="s">
        <v>76</v>
      </c>
      <c r="C22" s="108" t="s">
        <v>221</v>
      </c>
      <c r="D22" s="104">
        <v>1655120.12</v>
      </c>
      <c r="E22" s="104">
        <v>1655120.12</v>
      </c>
      <c r="F22" s="2">
        <f t="shared" si="6"/>
        <v>0</v>
      </c>
      <c r="G22" s="3">
        <f t="shared" si="7"/>
        <v>1655120.12</v>
      </c>
      <c r="H22" s="2">
        <f t="shared" si="2"/>
        <v>0</v>
      </c>
      <c r="I22" s="3">
        <f t="shared" si="3"/>
        <v>0</v>
      </c>
      <c r="J22" s="2">
        <f t="shared" si="4"/>
        <v>0</v>
      </c>
      <c r="K22" s="3">
        <f t="shared" si="5"/>
        <v>1655120.12</v>
      </c>
      <c r="L22" s="122"/>
    </row>
    <row r="23" spans="1:12" x14ac:dyDescent="0.2">
      <c r="A23" s="108" t="s">
        <v>77</v>
      </c>
      <c r="B23" s="110" t="s">
        <v>76</v>
      </c>
      <c r="C23" s="108" t="s">
        <v>222</v>
      </c>
      <c r="D23" s="104">
        <v>1368744.19</v>
      </c>
      <c r="E23" s="104">
        <v>1368744.19</v>
      </c>
      <c r="F23" s="2">
        <f t="shared" si="6"/>
        <v>0</v>
      </c>
      <c r="G23" s="3">
        <f t="shared" si="7"/>
        <v>1368744.19</v>
      </c>
      <c r="H23" s="2">
        <f t="shared" si="2"/>
        <v>0</v>
      </c>
      <c r="I23" s="3">
        <f t="shared" si="3"/>
        <v>0</v>
      </c>
      <c r="J23" s="2">
        <f t="shared" si="4"/>
        <v>0</v>
      </c>
      <c r="K23" s="3">
        <f t="shared" si="5"/>
        <v>1368744.19</v>
      </c>
      <c r="L23" s="122"/>
    </row>
    <row r="24" spans="1:12" x14ac:dyDescent="0.2">
      <c r="A24" s="108" t="s">
        <v>77</v>
      </c>
      <c r="B24" s="110" t="s">
        <v>76</v>
      </c>
      <c r="C24" s="108" t="s">
        <v>223</v>
      </c>
      <c r="D24" s="104">
        <v>1568439.72</v>
      </c>
      <c r="E24" s="104">
        <v>1568439.72</v>
      </c>
      <c r="F24" s="2">
        <f t="shared" si="6"/>
        <v>0</v>
      </c>
      <c r="G24" s="3">
        <f t="shared" si="7"/>
        <v>1568439.72</v>
      </c>
      <c r="H24" s="2">
        <f t="shared" si="2"/>
        <v>0</v>
      </c>
      <c r="I24" s="3">
        <f t="shared" si="3"/>
        <v>0</v>
      </c>
      <c r="J24" s="2">
        <f t="shared" si="4"/>
        <v>0</v>
      </c>
      <c r="K24" s="3">
        <f t="shared" si="5"/>
        <v>1568439.72</v>
      </c>
      <c r="L24" s="122"/>
    </row>
    <row r="25" spans="1:12" x14ac:dyDescent="0.2">
      <c r="A25" s="108" t="s">
        <v>77</v>
      </c>
      <c r="B25" s="110" t="s">
        <v>76</v>
      </c>
      <c r="C25" s="108" t="s">
        <v>224</v>
      </c>
      <c r="D25" s="104">
        <v>2463145.19</v>
      </c>
      <c r="E25" s="104">
        <v>2463145.19</v>
      </c>
      <c r="F25" s="2">
        <f t="shared" si="6"/>
        <v>0</v>
      </c>
      <c r="G25" s="3">
        <f t="shared" si="7"/>
        <v>2463145.19</v>
      </c>
      <c r="H25" s="2">
        <f t="shared" si="2"/>
        <v>0</v>
      </c>
      <c r="I25" s="3">
        <f t="shared" si="3"/>
        <v>0</v>
      </c>
      <c r="J25" s="2">
        <f t="shared" si="4"/>
        <v>0</v>
      </c>
      <c r="K25" s="3">
        <f t="shared" si="5"/>
        <v>2463145.19</v>
      </c>
      <c r="L25" s="122"/>
    </row>
    <row r="26" spans="1:12" x14ac:dyDescent="0.2">
      <c r="A26" s="108" t="s">
        <v>77</v>
      </c>
      <c r="B26" s="110" t="s">
        <v>76</v>
      </c>
      <c r="C26" s="108" t="s">
        <v>225</v>
      </c>
      <c r="D26" s="104">
        <v>6079654.21</v>
      </c>
      <c r="E26" s="104">
        <v>6079654.21</v>
      </c>
      <c r="F26" s="2">
        <f t="shared" si="6"/>
        <v>0</v>
      </c>
      <c r="G26" s="3">
        <f t="shared" si="7"/>
        <v>6079654.21</v>
      </c>
      <c r="H26" s="2">
        <f t="shared" si="2"/>
        <v>0</v>
      </c>
      <c r="I26" s="3">
        <f t="shared" si="3"/>
        <v>0</v>
      </c>
      <c r="J26" s="2">
        <f t="shared" si="4"/>
        <v>0</v>
      </c>
      <c r="K26" s="3">
        <f t="shared" si="5"/>
        <v>6079654.21</v>
      </c>
      <c r="L26" s="122"/>
    </row>
    <row r="27" spans="1:12" x14ac:dyDescent="0.2">
      <c r="A27" s="108" t="s">
        <v>77</v>
      </c>
      <c r="B27" s="110" t="s">
        <v>76</v>
      </c>
      <c r="C27" s="108" t="s">
        <v>226</v>
      </c>
      <c r="D27" s="104">
        <v>7396814.2199999997</v>
      </c>
      <c r="E27" s="104">
        <v>7396814.2199999997</v>
      </c>
      <c r="F27" s="2">
        <f t="shared" si="6"/>
        <v>0</v>
      </c>
      <c r="G27" s="3">
        <f t="shared" si="7"/>
        <v>7396814.2199999997</v>
      </c>
      <c r="H27" s="2">
        <f t="shared" si="2"/>
        <v>0</v>
      </c>
      <c r="I27" s="3">
        <v>-214.87</v>
      </c>
      <c r="J27" s="2">
        <f t="shared" si="4"/>
        <v>0</v>
      </c>
      <c r="K27" s="3">
        <f t="shared" si="5"/>
        <v>7396599.3499999996</v>
      </c>
      <c r="L27" s="122">
        <v>2</v>
      </c>
    </row>
    <row r="28" spans="1:12" x14ac:dyDescent="0.2">
      <c r="A28" s="108" t="s">
        <v>77</v>
      </c>
      <c r="B28" s="110" t="s">
        <v>76</v>
      </c>
      <c r="C28" s="113" t="s">
        <v>97</v>
      </c>
      <c r="D28" s="112"/>
      <c r="E28" s="112"/>
      <c r="F28" s="2"/>
      <c r="G28" s="3"/>
      <c r="H28" s="2"/>
      <c r="I28" s="3"/>
      <c r="J28" s="2"/>
      <c r="K28" s="3"/>
      <c r="L28" s="122"/>
    </row>
    <row r="29" spans="1:12" x14ac:dyDescent="0.2">
      <c r="A29" s="108" t="s">
        <v>78</v>
      </c>
      <c r="B29" s="110" t="s">
        <v>79</v>
      </c>
      <c r="C29" s="108" t="s">
        <v>215</v>
      </c>
      <c r="D29" s="104">
        <v>232242.54</v>
      </c>
      <c r="E29" s="104">
        <v>232242.54</v>
      </c>
      <c r="F29" s="2">
        <f t="shared" ref="F29:F40" si="8">IF($A29="40810002",$E29,IF($A29="40810602",$E29*$N$4,0))</f>
        <v>152490.451764</v>
      </c>
      <c r="G29" s="3">
        <f t="shared" ref="G29:G40" si="9">IF($A29="40810302",$E29,IF($A29="40810602",$E29*$N$5,0))</f>
        <v>79752.088235999996</v>
      </c>
      <c r="H29" s="2">
        <f t="shared" si="2"/>
        <v>0</v>
      </c>
      <c r="I29" s="3">
        <f t="shared" si="3"/>
        <v>0</v>
      </c>
      <c r="J29" s="2">
        <f t="shared" si="4"/>
        <v>152490.451764</v>
      </c>
      <c r="K29" s="3">
        <f t="shared" si="5"/>
        <v>79752.088235999996</v>
      </c>
      <c r="L29" s="122"/>
    </row>
    <row r="30" spans="1:12" x14ac:dyDescent="0.2">
      <c r="A30" s="108" t="s">
        <v>78</v>
      </c>
      <c r="B30" s="110" t="s">
        <v>79</v>
      </c>
      <c r="C30" s="108" t="s">
        <v>216</v>
      </c>
      <c r="D30" s="104">
        <v>197653.03</v>
      </c>
      <c r="E30" s="104">
        <v>197653.03</v>
      </c>
      <c r="F30" s="2">
        <f t="shared" si="8"/>
        <v>129778.97949799999</v>
      </c>
      <c r="G30" s="3">
        <f t="shared" si="9"/>
        <v>67874.050501999998</v>
      </c>
      <c r="H30" s="2">
        <f t="shared" si="2"/>
        <v>0</v>
      </c>
      <c r="I30" s="3">
        <f t="shared" si="3"/>
        <v>0</v>
      </c>
      <c r="J30" s="2">
        <f t="shared" si="4"/>
        <v>129778.97949799999</v>
      </c>
      <c r="K30" s="3">
        <f t="shared" si="5"/>
        <v>67874.050501999998</v>
      </c>
      <c r="L30" s="122"/>
    </row>
    <row r="31" spans="1:12" x14ac:dyDescent="0.2">
      <c r="A31" s="108" t="s">
        <v>78</v>
      </c>
      <c r="B31" s="110" t="s">
        <v>79</v>
      </c>
      <c r="C31" s="108" t="s">
        <v>217</v>
      </c>
      <c r="D31" s="104">
        <v>312305.63</v>
      </c>
      <c r="E31" s="104">
        <v>312305.63</v>
      </c>
      <c r="F31" s="2">
        <f t="shared" si="8"/>
        <v>205059.87665799999</v>
      </c>
      <c r="G31" s="3">
        <f t="shared" si="9"/>
        <v>107245.753342</v>
      </c>
      <c r="H31" s="2">
        <f t="shared" si="2"/>
        <v>0</v>
      </c>
      <c r="I31" s="3">
        <f t="shared" si="3"/>
        <v>0</v>
      </c>
      <c r="J31" s="2">
        <f t="shared" si="4"/>
        <v>205059.87665799999</v>
      </c>
      <c r="K31" s="3">
        <f t="shared" si="5"/>
        <v>107245.753342</v>
      </c>
      <c r="L31" s="122"/>
    </row>
    <row r="32" spans="1:12" x14ac:dyDescent="0.2">
      <c r="A32" s="108" t="s">
        <v>78</v>
      </c>
      <c r="B32" s="110" t="s">
        <v>79</v>
      </c>
      <c r="C32" s="108" t="s">
        <v>218</v>
      </c>
      <c r="D32" s="104">
        <v>142631.99</v>
      </c>
      <c r="E32" s="104">
        <v>142631.99</v>
      </c>
      <c r="F32" s="2">
        <f t="shared" si="8"/>
        <v>93652.164633999986</v>
      </c>
      <c r="G32" s="3">
        <f t="shared" si="9"/>
        <v>48979.825365999997</v>
      </c>
      <c r="H32" s="2">
        <f t="shared" si="2"/>
        <v>0</v>
      </c>
      <c r="I32" s="3">
        <f t="shared" si="3"/>
        <v>0</v>
      </c>
      <c r="J32" s="2">
        <f t="shared" si="4"/>
        <v>93652.164633999986</v>
      </c>
      <c r="K32" s="3">
        <f t="shared" si="5"/>
        <v>48979.825365999997</v>
      </c>
      <c r="L32" s="122"/>
    </row>
    <row r="33" spans="1:14" x14ac:dyDescent="0.2">
      <c r="A33" s="108" t="s">
        <v>78</v>
      </c>
      <c r="B33" s="110" t="s">
        <v>79</v>
      </c>
      <c r="C33" s="108" t="s">
        <v>219</v>
      </c>
      <c r="D33" s="104">
        <v>244120.81</v>
      </c>
      <c r="E33" s="104">
        <v>244120.81</v>
      </c>
      <c r="F33" s="2">
        <f t="shared" si="8"/>
        <v>160289.72384599998</v>
      </c>
      <c r="G33" s="3">
        <f t="shared" si="9"/>
        <v>83831.08615399999</v>
      </c>
      <c r="H33" s="2">
        <f t="shared" si="2"/>
        <v>0</v>
      </c>
      <c r="I33" s="3">
        <f t="shared" si="3"/>
        <v>0</v>
      </c>
      <c r="J33" s="2">
        <f t="shared" si="4"/>
        <v>160289.72384599998</v>
      </c>
      <c r="K33" s="3">
        <f t="shared" si="5"/>
        <v>83831.08615399999</v>
      </c>
      <c r="L33" s="122"/>
    </row>
    <row r="34" spans="1:14" x14ac:dyDescent="0.2">
      <c r="A34" s="108" t="s">
        <v>78</v>
      </c>
      <c r="B34" s="110" t="s">
        <v>79</v>
      </c>
      <c r="C34" s="108" t="s">
        <v>220</v>
      </c>
      <c r="D34" s="104">
        <v>212549.93</v>
      </c>
      <c r="E34" s="104">
        <v>212549.93</v>
      </c>
      <c r="F34" s="2">
        <f t="shared" si="8"/>
        <v>139560.28403799998</v>
      </c>
      <c r="G34" s="3">
        <f t="shared" si="9"/>
        <v>72989.645961999995</v>
      </c>
      <c r="H34" s="2">
        <f t="shared" si="2"/>
        <v>0</v>
      </c>
      <c r="I34" s="3">
        <f t="shared" si="3"/>
        <v>0</v>
      </c>
      <c r="J34" s="2">
        <f t="shared" si="4"/>
        <v>139560.28403799998</v>
      </c>
      <c r="K34" s="3">
        <f t="shared" si="5"/>
        <v>72989.645961999995</v>
      </c>
      <c r="L34" s="122"/>
    </row>
    <row r="35" spans="1:14" x14ac:dyDescent="0.2">
      <c r="A35" s="108" t="s">
        <v>78</v>
      </c>
      <c r="B35" s="110" t="s">
        <v>79</v>
      </c>
      <c r="C35" s="108" t="s">
        <v>221</v>
      </c>
      <c r="D35" s="104">
        <v>212755.5</v>
      </c>
      <c r="E35" s="104">
        <v>212755.5</v>
      </c>
      <c r="F35" s="2">
        <f t="shared" si="8"/>
        <v>139695.26129999998</v>
      </c>
      <c r="G35" s="3">
        <f t="shared" si="9"/>
        <v>73060.238700000002</v>
      </c>
      <c r="H35" s="2">
        <f t="shared" si="2"/>
        <v>0</v>
      </c>
      <c r="I35" s="3">
        <f t="shared" si="3"/>
        <v>0</v>
      </c>
      <c r="J35" s="2">
        <f t="shared" si="4"/>
        <v>139695.26129999998</v>
      </c>
      <c r="K35" s="3">
        <f t="shared" si="5"/>
        <v>73060.238700000002</v>
      </c>
      <c r="L35" s="122"/>
    </row>
    <row r="36" spans="1:14" x14ac:dyDescent="0.2">
      <c r="A36" s="108" t="s">
        <v>78</v>
      </c>
      <c r="B36" s="110" t="s">
        <v>79</v>
      </c>
      <c r="C36" s="108" t="s">
        <v>222</v>
      </c>
      <c r="D36" s="104">
        <v>246592.63</v>
      </c>
      <c r="E36" s="104">
        <v>246592.63</v>
      </c>
      <c r="F36" s="2">
        <f t="shared" si="8"/>
        <v>161912.72085799999</v>
      </c>
      <c r="G36" s="3">
        <f t="shared" si="9"/>
        <v>84679.909142000004</v>
      </c>
      <c r="H36" s="2">
        <f t="shared" si="2"/>
        <v>0</v>
      </c>
      <c r="I36" s="3">
        <f t="shared" si="3"/>
        <v>0</v>
      </c>
      <c r="J36" s="2">
        <f t="shared" si="4"/>
        <v>161912.72085799999</v>
      </c>
      <c r="K36" s="3">
        <f t="shared" si="5"/>
        <v>84679.909142000004</v>
      </c>
      <c r="L36" s="122"/>
    </row>
    <row r="37" spans="1:14" x14ac:dyDescent="0.2">
      <c r="A37" s="108" t="s">
        <v>78</v>
      </c>
      <c r="B37" s="110" t="s">
        <v>79</v>
      </c>
      <c r="C37" s="108" t="s">
        <v>223</v>
      </c>
      <c r="D37" s="104">
        <v>288469.65000000002</v>
      </c>
      <c r="E37" s="104">
        <v>288469.65000000002</v>
      </c>
      <c r="F37" s="2">
        <f t="shared" si="8"/>
        <v>189409.17219000001</v>
      </c>
      <c r="G37" s="3">
        <f t="shared" si="9"/>
        <v>99060.477809999997</v>
      </c>
      <c r="H37" s="2">
        <f t="shared" si="2"/>
        <v>0</v>
      </c>
      <c r="I37" s="3">
        <f t="shared" si="3"/>
        <v>0</v>
      </c>
      <c r="J37" s="2">
        <f t="shared" si="4"/>
        <v>189409.17219000001</v>
      </c>
      <c r="K37" s="3">
        <f t="shared" si="5"/>
        <v>99060.477809999997</v>
      </c>
      <c r="L37" s="122"/>
    </row>
    <row r="38" spans="1:14" x14ac:dyDescent="0.2">
      <c r="A38" s="108" t="s">
        <v>78</v>
      </c>
      <c r="B38" s="110" t="s">
        <v>79</v>
      </c>
      <c r="C38" s="108" t="s">
        <v>224</v>
      </c>
      <c r="D38" s="104">
        <v>298500.08</v>
      </c>
      <c r="E38" s="104">
        <v>298500.08</v>
      </c>
      <c r="F38" s="2">
        <f t="shared" si="8"/>
        <v>195995.15252800001</v>
      </c>
      <c r="G38" s="3">
        <f t="shared" si="9"/>
        <v>102504.927472</v>
      </c>
      <c r="H38" s="2">
        <f t="shared" si="2"/>
        <v>0</v>
      </c>
      <c r="I38" s="3">
        <f t="shared" si="3"/>
        <v>0</v>
      </c>
      <c r="J38" s="2">
        <f t="shared" si="4"/>
        <v>195995.15252800001</v>
      </c>
      <c r="K38" s="3">
        <f t="shared" si="5"/>
        <v>102504.927472</v>
      </c>
      <c r="L38" s="122"/>
    </row>
    <row r="39" spans="1:14" x14ac:dyDescent="0.2">
      <c r="A39" s="108" t="s">
        <v>78</v>
      </c>
      <c r="B39" s="110" t="s">
        <v>79</v>
      </c>
      <c r="C39" s="108" t="s">
        <v>225</v>
      </c>
      <c r="D39" s="104">
        <v>182517.4</v>
      </c>
      <c r="E39" s="104">
        <v>182517.4</v>
      </c>
      <c r="F39" s="2">
        <f t="shared" si="8"/>
        <v>119840.92483999999</v>
      </c>
      <c r="G39" s="3">
        <f t="shared" si="9"/>
        <v>62676.475159999995</v>
      </c>
      <c r="H39" s="2">
        <f t="shared" si="2"/>
        <v>0</v>
      </c>
      <c r="I39" s="3">
        <f t="shared" si="3"/>
        <v>0</v>
      </c>
      <c r="J39" s="2">
        <f t="shared" si="4"/>
        <v>119840.92483999999</v>
      </c>
      <c r="K39" s="3">
        <f t="shared" si="5"/>
        <v>62676.475159999995</v>
      </c>
      <c r="L39" s="122"/>
    </row>
    <row r="40" spans="1:14" x14ac:dyDescent="0.2">
      <c r="A40" s="108" t="s">
        <v>78</v>
      </c>
      <c r="B40" s="110" t="s">
        <v>79</v>
      </c>
      <c r="C40" s="108" t="s">
        <v>226</v>
      </c>
      <c r="D40" s="104">
        <v>264053.69</v>
      </c>
      <c r="E40" s="104">
        <v>264053.69</v>
      </c>
      <c r="F40" s="2">
        <f t="shared" si="8"/>
        <v>173377.65285399999</v>
      </c>
      <c r="G40" s="3">
        <f t="shared" si="9"/>
        <v>90676.037146000002</v>
      </c>
      <c r="H40" s="2">
        <f>N40*N4</f>
        <v>2505.8088440000001</v>
      </c>
      <c r="I40" s="3">
        <f>N40*N5</f>
        <v>1310.531156</v>
      </c>
      <c r="J40" s="2">
        <f t="shared" si="4"/>
        <v>175883.461698</v>
      </c>
      <c r="K40" s="3">
        <f t="shared" si="5"/>
        <v>91986.568302</v>
      </c>
      <c r="L40" s="122">
        <v>2</v>
      </c>
      <c r="N40" s="6">
        <v>3816.34</v>
      </c>
    </row>
    <row r="41" spans="1:14" x14ac:dyDescent="0.2">
      <c r="A41" s="108" t="s">
        <v>78</v>
      </c>
      <c r="B41" s="110" t="s">
        <v>79</v>
      </c>
      <c r="C41" s="113" t="s">
        <v>97</v>
      </c>
      <c r="D41" s="112"/>
      <c r="E41" s="112"/>
      <c r="F41" s="2"/>
      <c r="G41" s="3"/>
      <c r="H41" s="2"/>
      <c r="I41" s="3"/>
      <c r="J41" s="2"/>
      <c r="K41" s="3"/>
      <c r="L41" s="122"/>
    </row>
    <row r="42" spans="1:14" x14ac:dyDescent="0.2">
      <c r="A42" s="114" t="s">
        <v>98</v>
      </c>
      <c r="B42" s="103"/>
      <c r="C42" s="106"/>
      <c r="D42" s="105"/>
      <c r="E42" s="105"/>
      <c r="F42" s="2">
        <f>IF($A42="40810002",$E42,IF($A42="40810602",$E42*$N$4,0))</f>
        <v>0</v>
      </c>
      <c r="G42" s="3">
        <f>IF($A42="40810302",$E42,IF($A42="40810602",$E42*$N$5,0))</f>
        <v>0</v>
      </c>
      <c r="H42" s="2">
        <f t="shared" si="2"/>
        <v>0</v>
      </c>
      <c r="I42" s="3">
        <f t="shared" si="3"/>
        <v>0</v>
      </c>
      <c r="J42" s="2">
        <f t="shared" si="4"/>
        <v>0</v>
      </c>
      <c r="K42" s="3">
        <f t="shared" si="5"/>
        <v>0</v>
      </c>
      <c r="L42" s="122"/>
    </row>
    <row r="43" spans="1:14" x14ac:dyDescent="0.2">
      <c r="D43" s="19"/>
      <c r="E43" s="98"/>
      <c r="F43" s="2"/>
      <c r="G43" s="3"/>
      <c r="H43" s="2"/>
      <c r="I43" s="3"/>
      <c r="J43" s="2"/>
      <c r="K43" s="3"/>
      <c r="L43" s="122"/>
    </row>
    <row r="44" spans="1:14" x14ac:dyDescent="0.2">
      <c r="D44" s="19"/>
      <c r="E44" s="98"/>
      <c r="F44" s="2"/>
      <c r="G44" s="3"/>
      <c r="H44" s="2"/>
      <c r="I44" s="3"/>
      <c r="J44" s="2"/>
      <c r="K44" s="3"/>
      <c r="L44" s="122"/>
    </row>
    <row r="45" spans="1:14" x14ac:dyDescent="0.2">
      <c r="F45" s="11"/>
      <c r="G45" s="15"/>
      <c r="H45" s="11"/>
      <c r="I45" s="15"/>
      <c r="J45" s="11"/>
      <c r="K45" s="15"/>
      <c r="L45" s="123"/>
    </row>
    <row r="46" spans="1:14" x14ac:dyDescent="0.2">
      <c r="A46" s="8" t="s">
        <v>94</v>
      </c>
      <c r="B46" s="8"/>
      <c r="C46" s="8"/>
      <c r="D46" s="8">
        <v>40810002</v>
      </c>
      <c r="E46" s="8"/>
      <c r="F46" s="12">
        <f t="shared" ref="F46:K48" si="10">SUMIF($A$3:$A$45,$D46,F$3:F$45)</f>
        <v>98742092.219999984</v>
      </c>
      <c r="G46" s="16">
        <f t="shared" si="10"/>
        <v>0</v>
      </c>
      <c r="H46" s="12">
        <f t="shared" si="10"/>
        <v>0</v>
      </c>
      <c r="I46" s="16">
        <f t="shared" si="10"/>
        <v>0</v>
      </c>
      <c r="J46" s="12">
        <f t="shared" si="10"/>
        <v>98742092.219999999</v>
      </c>
      <c r="K46" s="16">
        <f t="shared" si="10"/>
        <v>0</v>
      </c>
      <c r="L46" s="123"/>
    </row>
    <row r="47" spans="1:14" x14ac:dyDescent="0.2">
      <c r="A47" s="8" t="s">
        <v>95</v>
      </c>
      <c r="B47" s="8"/>
      <c r="C47" s="8"/>
      <c r="D47" s="8">
        <v>40810302</v>
      </c>
      <c r="E47" s="8"/>
      <c r="F47" s="12">
        <f t="shared" si="10"/>
        <v>0</v>
      </c>
      <c r="G47" s="16">
        <f t="shared" si="10"/>
        <v>46119482.130000003</v>
      </c>
      <c r="H47" s="12">
        <f t="shared" si="10"/>
        <v>0</v>
      </c>
      <c r="I47" s="16">
        <f t="shared" si="10"/>
        <v>-214.87</v>
      </c>
      <c r="J47" s="12">
        <f t="shared" si="10"/>
        <v>0</v>
      </c>
      <c r="K47" s="16">
        <f t="shared" si="10"/>
        <v>46119267.260000005</v>
      </c>
      <c r="L47" s="123"/>
    </row>
    <row r="48" spans="1:14" ht="12" thickBot="1" x14ac:dyDescent="0.25">
      <c r="A48" s="9" t="s">
        <v>96</v>
      </c>
      <c r="B48" s="9"/>
      <c r="C48" s="9"/>
      <c r="D48" s="9">
        <v>40810602</v>
      </c>
      <c r="E48" s="9"/>
      <c r="F48" s="13">
        <f t="shared" si="10"/>
        <v>1861062.3650080003</v>
      </c>
      <c r="G48" s="17">
        <f t="shared" si="10"/>
        <v>973330.51499199995</v>
      </c>
      <c r="H48" s="13">
        <f t="shared" si="10"/>
        <v>2505.8088440000001</v>
      </c>
      <c r="I48" s="17">
        <f t="shared" si="10"/>
        <v>1310.531156</v>
      </c>
      <c r="J48" s="13">
        <f t="shared" si="10"/>
        <v>1863568.1738520004</v>
      </c>
      <c r="K48" s="17">
        <f t="shared" si="10"/>
        <v>974641.04614800005</v>
      </c>
      <c r="L48" s="123"/>
    </row>
    <row r="49" spans="1:12" ht="12" thickBot="1" x14ac:dyDescent="0.25">
      <c r="A49" s="10" t="s">
        <v>93</v>
      </c>
      <c r="B49" s="10"/>
      <c r="C49" s="10"/>
      <c r="D49" s="10"/>
      <c r="E49" s="10"/>
      <c r="F49" s="14">
        <f>SUM(F46:F48)</f>
        <v>100603154.58500798</v>
      </c>
      <c r="G49" s="18">
        <f t="shared" ref="G49:K49" si="11">SUM(G46:G48)</f>
        <v>47092812.644992001</v>
      </c>
      <c r="H49" s="14">
        <f t="shared" si="11"/>
        <v>2505.8088440000001</v>
      </c>
      <c r="I49" s="18">
        <f t="shared" si="11"/>
        <v>1095.6611560000001</v>
      </c>
      <c r="J49" s="14">
        <f t="shared" si="11"/>
        <v>100605660.393852</v>
      </c>
      <c r="K49" s="18">
        <f t="shared" si="11"/>
        <v>47093908.306148008</v>
      </c>
      <c r="L49" s="123"/>
    </row>
    <row r="50" spans="1:12" ht="12" thickTop="1" x14ac:dyDescent="0.2">
      <c r="F50" s="7"/>
      <c r="G50" s="7"/>
      <c r="H50" s="7"/>
      <c r="I50" s="7"/>
      <c r="J50" s="7"/>
      <c r="K50" s="7"/>
    </row>
    <row r="51" spans="1:12" ht="13.2" x14ac:dyDescent="0.25">
      <c r="A51" s="124" t="s">
        <v>229</v>
      </c>
      <c r="B51" s="125"/>
      <c r="C51" s="125"/>
      <c r="D51" s="125"/>
      <c r="E51" s="125"/>
      <c r="L51" s="6"/>
    </row>
    <row r="52" spans="1:12" ht="13.2" x14ac:dyDescent="0.25">
      <c r="A52" s="124" t="s">
        <v>230</v>
      </c>
      <c r="B52" s="125"/>
      <c r="C52" s="125"/>
      <c r="D52" s="125"/>
      <c r="E52" s="125"/>
      <c r="L52" s="6"/>
    </row>
    <row r="53" spans="1:12" ht="13.2" x14ac:dyDescent="0.25">
      <c r="A53" s="115"/>
      <c r="B53" s="116"/>
      <c r="C53" s="116"/>
      <c r="D53" s="116"/>
      <c r="E53" s="116"/>
    </row>
    <row r="54" spans="1:12" ht="13.2" x14ac:dyDescent="0.25">
      <c r="A54" s="115"/>
      <c r="B54" s="116"/>
      <c r="C54" s="116"/>
      <c r="D54" s="116"/>
      <c r="E54" s="116"/>
    </row>
    <row r="55" spans="1:12" x14ac:dyDescent="0.2">
      <c r="A55" s="117"/>
      <c r="B55" s="117"/>
      <c r="C55" s="117"/>
      <c r="D55" s="117"/>
      <c r="E55" s="117"/>
    </row>
    <row r="56" spans="1:12" x14ac:dyDescent="0.2">
      <c r="A56" s="117"/>
      <c r="B56" s="117"/>
      <c r="C56" s="117"/>
      <c r="D56" s="117"/>
      <c r="E56" s="117"/>
    </row>
    <row r="57" spans="1:12" x14ac:dyDescent="0.2">
      <c r="A57" s="117"/>
      <c r="B57" s="117"/>
      <c r="C57" s="117"/>
      <c r="D57" s="117"/>
      <c r="E57" s="117"/>
    </row>
  </sheetData>
  <mergeCells count="3">
    <mergeCell ref="F1:G1"/>
    <mergeCell ref="H1:I1"/>
    <mergeCell ref="J1:K1"/>
  </mergeCells>
  <pageMargins left="0.7" right="0.7" top="0.75" bottom="0.75" header="0.3" footer="0.3"/>
  <pageSetup orientation="portrait" r:id="rId1"/>
  <customProperties>
    <customPr name="_pios_id" r:id="rId2"/>
    <customPr name="CofWorksheetType"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C34" sqref="C34"/>
    </sheetView>
  </sheetViews>
  <sheetFormatPr defaultRowHeight="12" x14ac:dyDescent="0.25"/>
  <cols>
    <col min="1" max="1" width="16.42578125" bestFit="1" customWidth="1"/>
    <col min="2" max="2" width="34.28515625" bestFit="1" customWidth="1"/>
    <col min="3" max="3" width="22" bestFit="1" customWidth="1"/>
    <col min="4" max="4" width="16.7109375" bestFit="1" customWidth="1"/>
  </cols>
  <sheetData>
    <row r="1" spans="1:4" x14ac:dyDescent="0.25">
      <c r="A1" s="107" t="s">
        <v>206</v>
      </c>
      <c r="B1" s="107" t="s">
        <v>206</v>
      </c>
      <c r="C1" s="107" t="s">
        <v>206</v>
      </c>
      <c r="D1" s="108" t="s">
        <v>202</v>
      </c>
    </row>
    <row r="2" spans="1:4" x14ac:dyDescent="0.25">
      <c r="A2" s="107" t="s">
        <v>1</v>
      </c>
      <c r="B2" s="101"/>
      <c r="C2" s="107" t="s">
        <v>74</v>
      </c>
      <c r="D2" s="109" t="s">
        <v>2</v>
      </c>
    </row>
    <row r="3" spans="1:4" x14ac:dyDescent="0.25">
      <c r="A3" s="108" t="s">
        <v>80</v>
      </c>
      <c r="B3" s="110" t="s">
        <v>81</v>
      </c>
      <c r="C3" s="108" t="s">
        <v>215</v>
      </c>
      <c r="D3" s="104">
        <v>587616</v>
      </c>
    </row>
    <row r="4" spans="1:4" x14ac:dyDescent="0.25">
      <c r="A4" s="102"/>
      <c r="B4" s="100"/>
      <c r="C4" s="108" t="s">
        <v>216</v>
      </c>
      <c r="D4" s="104">
        <v>502182</v>
      </c>
    </row>
    <row r="5" spans="1:4" x14ac:dyDescent="0.25">
      <c r="A5" s="102"/>
      <c r="B5" s="100"/>
      <c r="C5" s="108" t="s">
        <v>217</v>
      </c>
      <c r="D5" s="104">
        <v>2098433</v>
      </c>
    </row>
    <row r="6" spans="1:4" x14ac:dyDescent="0.25">
      <c r="A6" s="102"/>
      <c r="B6" s="100"/>
      <c r="C6" s="108" t="s">
        <v>218</v>
      </c>
      <c r="D6" s="104">
        <v>712741.42</v>
      </c>
    </row>
    <row r="7" spans="1:4" x14ac:dyDescent="0.25">
      <c r="A7" s="102"/>
      <c r="B7" s="100"/>
      <c r="C7" s="108" t="s">
        <v>219</v>
      </c>
      <c r="D7" s="104">
        <v>791692</v>
      </c>
    </row>
    <row r="8" spans="1:4" x14ac:dyDescent="0.25">
      <c r="A8" s="102"/>
      <c r="B8" s="100"/>
      <c r="C8" s="108" t="s">
        <v>220</v>
      </c>
      <c r="D8" s="104">
        <v>845616</v>
      </c>
    </row>
    <row r="9" spans="1:4" x14ac:dyDescent="0.25">
      <c r="A9" s="102"/>
      <c r="B9" s="100"/>
      <c r="C9" s="108" t="s">
        <v>221</v>
      </c>
      <c r="D9" s="104">
        <v>893863</v>
      </c>
    </row>
    <row r="10" spans="1:4" x14ac:dyDescent="0.25">
      <c r="A10" s="102"/>
      <c r="B10" s="100"/>
      <c r="C10" s="108" t="s">
        <v>222</v>
      </c>
      <c r="D10" s="104">
        <v>911654</v>
      </c>
    </row>
    <row r="11" spans="1:4" x14ac:dyDescent="0.25">
      <c r="A11" s="102"/>
      <c r="B11" s="100"/>
      <c r="C11" s="108" t="s">
        <v>223</v>
      </c>
      <c r="D11" s="104">
        <v>792584</v>
      </c>
    </row>
    <row r="12" spans="1:4" x14ac:dyDescent="0.25">
      <c r="A12" s="102"/>
      <c r="B12" s="100"/>
      <c r="C12" s="108" t="s">
        <v>224</v>
      </c>
      <c r="D12" s="104">
        <v>801491</v>
      </c>
    </row>
    <row r="13" spans="1:4" x14ac:dyDescent="0.25">
      <c r="A13" s="102"/>
      <c r="B13" s="100"/>
      <c r="C13" s="108" t="s">
        <v>225</v>
      </c>
      <c r="D13" s="104">
        <v>1013104</v>
      </c>
    </row>
    <row r="14" spans="1:4" x14ac:dyDescent="0.25">
      <c r="A14" s="102"/>
      <c r="B14" s="100"/>
      <c r="C14" s="108" t="s">
        <v>226</v>
      </c>
      <c r="D14" s="104">
        <v>1335358</v>
      </c>
    </row>
    <row r="15" spans="1:4" x14ac:dyDescent="0.25">
      <c r="A15" s="102"/>
      <c r="B15" s="100"/>
      <c r="C15" s="113" t="s">
        <v>97</v>
      </c>
      <c r="D15" s="112">
        <v>11286334.42</v>
      </c>
    </row>
    <row r="16" spans="1:4" x14ac:dyDescent="0.25">
      <c r="A16" s="108" t="s">
        <v>82</v>
      </c>
      <c r="B16" s="110" t="s">
        <v>83</v>
      </c>
      <c r="C16" s="108" t="s">
        <v>215</v>
      </c>
      <c r="D16" s="104">
        <v>321692</v>
      </c>
    </row>
    <row r="17" spans="1:4" x14ac:dyDescent="0.25">
      <c r="A17" s="102"/>
      <c r="B17" s="100"/>
      <c r="C17" s="108" t="s">
        <v>216</v>
      </c>
      <c r="D17" s="104">
        <v>279986</v>
      </c>
    </row>
    <row r="18" spans="1:4" x14ac:dyDescent="0.25">
      <c r="A18" s="102"/>
      <c r="B18" s="100"/>
      <c r="C18" s="108" t="s">
        <v>217</v>
      </c>
      <c r="D18" s="104">
        <v>1090721</v>
      </c>
    </row>
    <row r="19" spans="1:4" x14ac:dyDescent="0.25">
      <c r="A19" s="102"/>
      <c r="B19" s="100"/>
      <c r="C19" s="108" t="s">
        <v>218</v>
      </c>
      <c r="D19" s="104">
        <v>461530.62</v>
      </c>
    </row>
    <row r="20" spans="1:4" x14ac:dyDescent="0.25">
      <c r="A20" s="102"/>
      <c r="B20" s="100"/>
      <c r="C20" s="108" t="s">
        <v>219</v>
      </c>
      <c r="D20" s="104">
        <v>328961</v>
      </c>
    </row>
    <row r="21" spans="1:4" x14ac:dyDescent="0.25">
      <c r="A21" s="102"/>
      <c r="B21" s="100"/>
      <c r="C21" s="108" t="s">
        <v>220</v>
      </c>
      <c r="D21" s="104">
        <v>216217</v>
      </c>
    </row>
    <row r="22" spans="1:4" x14ac:dyDescent="0.25">
      <c r="A22" s="102"/>
      <c r="B22" s="100"/>
      <c r="C22" s="108" t="s">
        <v>221</v>
      </c>
      <c r="D22" s="104">
        <v>175783</v>
      </c>
    </row>
    <row r="23" spans="1:4" x14ac:dyDescent="0.25">
      <c r="A23" s="102"/>
      <c r="B23" s="100"/>
      <c r="C23" s="108" t="s">
        <v>222</v>
      </c>
      <c r="D23" s="104">
        <v>153174</v>
      </c>
    </row>
    <row r="24" spans="1:4" x14ac:dyDescent="0.25">
      <c r="A24" s="102"/>
      <c r="B24" s="100"/>
      <c r="C24" s="108" t="s">
        <v>223</v>
      </c>
      <c r="D24" s="104">
        <v>167228</v>
      </c>
    </row>
    <row r="25" spans="1:4" x14ac:dyDescent="0.25">
      <c r="A25" s="102"/>
      <c r="B25" s="100"/>
      <c r="C25" s="108" t="s">
        <v>224</v>
      </c>
      <c r="D25" s="104">
        <v>258989</v>
      </c>
    </row>
    <row r="26" spans="1:4" x14ac:dyDescent="0.25">
      <c r="A26" s="102"/>
      <c r="B26" s="100"/>
      <c r="C26" s="108" t="s">
        <v>225</v>
      </c>
      <c r="D26" s="104">
        <v>612804</v>
      </c>
    </row>
    <row r="27" spans="1:4" x14ac:dyDescent="0.25">
      <c r="A27" s="102"/>
      <c r="B27" s="100"/>
      <c r="C27" s="108" t="s">
        <v>226</v>
      </c>
      <c r="D27" s="104">
        <v>761735</v>
      </c>
    </row>
    <row r="28" spans="1:4" x14ac:dyDescent="0.25">
      <c r="A28" s="102"/>
      <c r="B28" s="100"/>
      <c r="C28" s="113" t="s">
        <v>97</v>
      </c>
      <c r="D28" s="112">
        <v>4828820.62</v>
      </c>
    </row>
    <row r="29" spans="1:4" x14ac:dyDescent="0.25">
      <c r="A29" s="114" t="s">
        <v>98</v>
      </c>
      <c r="B29" s="103"/>
      <c r="C29" s="106"/>
      <c r="D29" s="105">
        <v>16115155.039999999</v>
      </c>
    </row>
  </sheetData>
  <pageMargins left="0.7" right="0.7" top="0.75" bottom="0.75" header="0.3" footer="0.3"/>
  <customProperties>
    <customPr name="_pios_id" r:id="rId1"/>
    <customPr name="CofWorksheetType"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9"/>
  <sheetViews>
    <sheetView topLeftCell="B1" zoomScaleNormal="100" workbookViewId="0">
      <selection activeCell="B33" sqref="B33"/>
    </sheetView>
  </sheetViews>
  <sheetFormatPr defaultColWidth="11.42578125" defaultRowHeight="14.4" x14ac:dyDescent="0.3"/>
  <cols>
    <col min="1" max="1" width="11.7109375" style="83" customWidth="1"/>
    <col min="2" max="2" width="151.42578125" style="59" customWidth="1"/>
    <col min="3" max="3" width="4.7109375" style="59" bestFit="1" customWidth="1"/>
    <col min="4" max="4" width="22.7109375" style="59" bestFit="1" customWidth="1"/>
    <col min="5" max="5" width="20.42578125" style="59" bestFit="1" customWidth="1"/>
    <col min="6" max="6" width="25.42578125" style="59" bestFit="1" customWidth="1"/>
    <col min="7" max="16384" width="11.42578125" style="59"/>
  </cols>
  <sheetData>
    <row r="1" spans="1:6" x14ac:dyDescent="0.3">
      <c r="A1" s="71" t="s">
        <v>116</v>
      </c>
      <c r="B1" s="71"/>
      <c r="C1" s="71"/>
      <c r="D1" s="71"/>
      <c r="E1" s="71"/>
      <c r="F1" s="71"/>
    </row>
    <row r="2" spans="1:6" x14ac:dyDescent="0.3">
      <c r="A2" s="71" t="s">
        <v>117</v>
      </c>
      <c r="B2" s="71"/>
      <c r="C2" s="71"/>
      <c r="D2" s="71"/>
      <c r="E2" s="71"/>
      <c r="F2" s="71"/>
    </row>
    <row r="3" spans="1:6" x14ac:dyDescent="0.3">
      <c r="A3" s="71" t="s">
        <v>118</v>
      </c>
      <c r="B3" s="72"/>
      <c r="C3" s="72"/>
      <c r="D3" s="72"/>
      <c r="E3" s="72"/>
      <c r="F3" s="72"/>
    </row>
    <row r="5" spans="1:6" x14ac:dyDescent="0.3">
      <c r="A5" s="73" t="s">
        <v>119</v>
      </c>
    </row>
    <row r="6" spans="1:6" x14ac:dyDescent="0.3">
      <c r="A6" s="74" t="s">
        <v>120</v>
      </c>
    </row>
    <row r="7" spans="1:6" x14ac:dyDescent="0.3">
      <c r="A7" s="74" t="s">
        <v>121</v>
      </c>
    </row>
    <row r="8" spans="1:6" x14ac:dyDescent="0.3">
      <c r="A8" s="74" t="s">
        <v>122</v>
      </c>
    </row>
    <row r="9" spans="1:6" x14ac:dyDescent="0.3">
      <c r="A9" s="74" t="s">
        <v>123</v>
      </c>
    </row>
    <row r="10" spans="1:6" x14ac:dyDescent="0.3">
      <c r="A10" s="74"/>
    </row>
    <row r="11" spans="1:6" x14ac:dyDescent="0.3">
      <c r="A11" s="75" t="s">
        <v>124</v>
      </c>
    </row>
    <row r="12" spans="1:6" x14ac:dyDescent="0.3">
      <c r="A12" s="75" t="s">
        <v>125</v>
      </c>
      <c r="B12" s="59" t="s">
        <v>126</v>
      </c>
      <c r="C12" s="76" t="s">
        <v>125</v>
      </c>
      <c r="D12" s="77">
        <f>'[1]Allocated (CBR)'!$B$9</f>
        <v>2508927601.7400002</v>
      </c>
    </row>
    <row r="13" spans="1:6" x14ac:dyDescent="0.3">
      <c r="A13" s="75" t="s">
        <v>127</v>
      </c>
      <c r="B13" s="59" t="s">
        <v>128</v>
      </c>
      <c r="C13" s="78" t="s">
        <v>129</v>
      </c>
      <c r="D13" s="59" t="s">
        <v>127</v>
      </c>
    </row>
    <row r="14" spans="1:6" x14ac:dyDescent="0.3">
      <c r="A14" s="75" t="s">
        <v>130</v>
      </c>
      <c r="B14" s="59" t="s">
        <v>131</v>
      </c>
      <c r="C14" s="78"/>
      <c r="D14" s="59" t="s">
        <v>130</v>
      </c>
    </row>
    <row r="15" spans="1:6" x14ac:dyDescent="0.3">
      <c r="A15" s="75" t="s">
        <v>132</v>
      </c>
      <c r="B15" s="59" t="s">
        <v>133</v>
      </c>
      <c r="C15" s="59" t="s">
        <v>132</v>
      </c>
      <c r="D15" s="77"/>
    </row>
    <row r="16" spans="1:6" x14ac:dyDescent="0.3">
      <c r="A16" s="75" t="s">
        <v>134</v>
      </c>
      <c r="B16" s="59" t="s">
        <v>135</v>
      </c>
      <c r="C16" s="59" t="s">
        <v>134</v>
      </c>
      <c r="D16" s="77"/>
    </row>
    <row r="17" spans="1:7" ht="15" thickBot="1" x14ac:dyDescent="0.35">
      <c r="A17" s="75">
        <v>1</v>
      </c>
      <c r="B17" s="79" t="s">
        <v>136</v>
      </c>
      <c r="D17" s="59" t="s">
        <v>137</v>
      </c>
      <c r="E17" s="59">
        <v>1</v>
      </c>
      <c r="F17" s="80">
        <f>+D12</f>
        <v>2508927601.7400002</v>
      </c>
    </row>
    <row r="18" spans="1:7" ht="15.6" thickTop="1" thickBot="1" x14ac:dyDescent="0.35">
      <c r="A18" s="75">
        <v>2</v>
      </c>
      <c r="B18" s="59" t="s">
        <v>138</v>
      </c>
      <c r="E18" s="59">
        <v>2</v>
      </c>
      <c r="F18" s="80">
        <f>+E48</f>
        <v>86367531.129999995</v>
      </c>
      <c r="G18" s="59" t="s">
        <v>139</v>
      </c>
    </row>
    <row r="19" spans="1:7" ht="15" thickTop="1" x14ac:dyDescent="0.3">
      <c r="A19" s="75">
        <v>3</v>
      </c>
      <c r="B19" s="59" t="s">
        <v>140</v>
      </c>
      <c r="E19" s="59">
        <v>3</v>
      </c>
      <c r="F19" s="81">
        <f>SUM(F17:F18)</f>
        <v>2595295132.8700004</v>
      </c>
    </row>
    <row r="20" spans="1:7" x14ac:dyDescent="0.3">
      <c r="A20" s="75">
        <v>4</v>
      </c>
      <c r="B20" s="59" t="s">
        <v>141</v>
      </c>
      <c r="E20" s="59">
        <v>4</v>
      </c>
      <c r="F20" s="82"/>
    </row>
    <row r="21" spans="1:7" x14ac:dyDescent="0.3">
      <c r="A21" s="75" t="s">
        <v>142</v>
      </c>
      <c r="B21" s="59" t="s">
        <v>143</v>
      </c>
      <c r="E21" s="83" t="s">
        <v>144</v>
      </c>
      <c r="F21" s="84">
        <f>IF(AND(F19&gt;=1,F19&lt;20000),"ZERO", 0)</f>
        <v>0</v>
      </c>
    </row>
    <row r="22" spans="1:7" x14ac:dyDescent="0.3">
      <c r="A22" s="75" t="s">
        <v>145</v>
      </c>
      <c r="B22" s="59" t="s">
        <v>146</v>
      </c>
      <c r="C22" s="59" t="s">
        <v>147</v>
      </c>
      <c r="D22" s="85">
        <f>IF(AND(20000&lt;=F19,F19&lt;=50000),F19, 0)</f>
        <v>0</v>
      </c>
      <c r="E22" s="82" t="s">
        <v>148</v>
      </c>
      <c r="F22" s="86">
        <f>IF(D22&gt;1, (D22*0.001), 0)</f>
        <v>0</v>
      </c>
    </row>
    <row r="23" spans="1:7" x14ac:dyDescent="0.3">
      <c r="A23" s="75"/>
      <c r="B23" s="59" t="s">
        <v>149</v>
      </c>
    </row>
    <row r="24" spans="1:7" x14ac:dyDescent="0.3">
      <c r="A24" s="75" t="s">
        <v>150</v>
      </c>
      <c r="B24" s="59" t="s">
        <v>151</v>
      </c>
      <c r="C24" s="59" t="s">
        <v>152</v>
      </c>
      <c r="D24" s="86">
        <f>IF(F19&gt;50000, F19, 0)</f>
        <v>2595295132.8700004</v>
      </c>
    </row>
    <row r="25" spans="1:7" x14ac:dyDescent="0.3">
      <c r="A25" s="75" t="s">
        <v>153</v>
      </c>
      <c r="B25" s="59" t="s">
        <v>154</v>
      </c>
      <c r="C25" s="59" t="s">
        <v>155</v>
      </c>
      <c r="D25" s="86">
        <f>IF(D24&gt;1, 50000, 0)</f>
        <v>50000</v>
      </c>
      <c r="E25" s="82" t="s">
        <v>148</v>
      </c>
      <c r="F25" s="86">
        <f t="shared" ref="F25" si="0">IF(D25&gt;1, (D25*0.001), 0)</f>
        <v>50</v>
      </c>
    </row>
    <row r="26" spans="1:7" x14ac:dyDescent="0.3">
      <c r="A26" s="75" t="s">
        <v>156</v>
      </c>
      <c r="B26" s="59" t="s">
        <v>157</v>
      </c>
      <c r="C26" s="59" t="s">
        <v>158</v>
      </c>
      <c r="D26" s="86">
        <f>+D24-D25</f>
        <v>2595245132.8700004</v>
      </c>
      <c r="E26" s="118" t="s">
        <v>228</v>
      </c>
      <c r="F26" s="86">
        <f>IF(D26&gt;1, (D26*0.004), 0)</f>
        <v>10380980.531480001</v>
      </c>
    </row>
    <row r="27" spans="1:7" x14ac:dyDescent="0.3">
      <c r="A27" s="75">
        <v>5</v>
      </c>
      <c r="B27" s="59" t="s">
        <v>159</v>
      </c>
      <c r="E27" s="59">
        <v>5</v>
      </c>
      <c r="F27" s="86">
        <f>SUM(F25:F26)</f>
        <v>10381030.531480001</v>
      </c>
    </row>
    <row r="28" spans="1:7" x14ac:dyDescent="0.3">
      <c r="A28" s="75"/>
      <c r="E28" s="87" t="s">
        <v>160</v>
      </c>
      <c r="F28" s="88" t="s">
        <v>161</v>
      </c>
    </row>
    <row r="29" spans="1:7" x14ac:dyDescent="0.3">
      <c r="A29" s="75"/>
      <c r="B29" s="79" t="s">
        <v>162</v>
      </c>
    </row>
    <row r="30" spans="1:7" x14ac:dyDescent="0.3">
      <c r="A30" s="75">
        <v>6</v>
      </c>
      <c r="B30" s="59" t="s">
        <v>163</v>
      </c>
      <c r="E30" s="59">
        <v>6</v>
      </c>
      <c r="F30" s="82"/>
    </row>
    <row r="31" spans="1:7" x14ac:dyDescent="0.3">
      <c r="A31" s="75" t="s">
        <v>164</v>
      </c>
      <c r="B31" s="59" t="s">
        <v>165</v>
      </c>
      <c r="C31" s="59" t="s">
        <v>166</v>
      </c>
      <c r="D31" s="89">
        <v>0</v>
      </c>
      <c r="E31" s="82" t="s">
        <v>167</v>
      </c>
      <c r="F31" s="86">
        <f>IF(D31&gt;0, (D31*0.02), 0)</f>
        <v>0</v>
      </c>
    </row>
    <row r="32" spans="1:7" x14ac:dyDescent="0.3">
      <c r="A32" s="75">
        <v>7</v>
      </c>
      <c r="B32" s="59" t="s">
        <v>168</v>
      </c>
      <c r="E32" s="59">
        <v>7</v>
      </c>
      <c r="F32" s="82"/>
    </row>
    <row r="33" spans="1:6" x14ac:dyDescent="0.3">
      <c r="A33" s="75" t="s">
        <v>169</v>
      </c>
      <c r="B33" s="59" t="s">
        <v>170</v>
      </c>
      <c r="E33" s="83" t="s">
        <v>169</v>
      </c>
      <c r="F33" s="90"/>
    </row>
    <row r="34" spans="1:6" x14ac:dyDescent="0.3">
      <c r="A34" s="75" t="s">
        <v>171</v>
      </c>
      <c r="B34" s="59" t="s">
        <v>172</v>
      </c>
      <c r="E34" s="83" t="s">
        <v>171</v>
      </c>
      <c r="F34" s="86">
        <f>F27*F33*0.01</f>
        <v>0</v>
      </c>
    </row>
    <row r="35" spans="1:6" x14ac:dyDescent="0.3">
      <c r="A35" s="75">
        <v>8</v>
      </c>
      <c r="B35" s="59" t="s">
        <v>173</v>
      </c>
      <c r="E35" s="59">
        <v>8</v>
      </c>
      <c r="F35" s="86">
        <f>SUM(F34,F31)</f>
        <v>0</v>
      </c>
    </row>
    <row r="36" spans="1:6" x14ac:dyDescent="0.3">
      <c r="A36" s="75"/>
      <c r="E36" s="59" t="s">
        <v>160</v>
      </c>
      <c r="F36" s="88" t="s">
        <v>174</v>
      </c>
    </row>
    <row r="37" spans="1:6" x14ac:dyDescent="0.3">
      <c r="A37" s="75"/>
    </row>
    <row r="38" spans="1:6" x14ac:dyDescent="0.3">
      <c r="A38" s="75">
        <v>9</v>
      </c>
      <c r="B38" s="59" t="s">
        <v>175</v>
      </c>
      <c r="E38" s="59">
        <v>9</v>
      </c>
      <c r="F38" s="86">
        <f>IF((F21="ZERO"),"ZERO",SUM(F22,F27,F35))</f>
        <v>10381030.531480001</v>
      </c>
    </row>
    <row r="39" spans="1:6" x14ac:dyDescent="0.3">
      <c r="A39" s="75"/>
    </row>
    <row r="40" spans="1:6" ht="28.8" x14ac:dyDescent="0.3">
      <c r="A40" s="75" t="s">
        <v>176</v>
      </c>
      <c r="B40" s="92" t="s">
        <v>177</v>
      </c>
    </row>
    <row r="41" spans="1:6" ht="28.8" x14ac:dyDescent="0.3">
      <c r="A41" s="75" t="s">
        <v>178</v>
      </c>
      <c r="B41" s="92" t="s">
        <v>179</v>
      </c>
    </row>
    <row r="43" spans="1:6" x14ac:dyDescent="0.3">
      <c r="B43" s="93" t="s">
        <v>180</v>
      </c>
      <c r="C43" s="91"/>
      <c r="D43" s="91"/>
      <c r="E43" s="91"/>
      <c r="F43" s="91"/>
    </row>
    <row r="44" spans="1:6" x14ac:dyDescent="0.3">
      <c r="B44" s="94" t="s">
        <v>181</v>
      </c>
      <c r="E44" s="95">
        <f>'[1]Unallocated Detail (CBR)'!$G$29</f>
        <v>-1091.73</v>
      </c>
    </row>
    <row r="45" spans="1:6" x14ac:dyDescent="0.3">
      <c r="B45" s="94" t="s">
        <v>182</v>
      </c>
      <c r="E45" s="95">
        <f>'[1]Unallocated Detail (CBR)'!$G$30</f>
        <v>14470160.359999999</v>
      </c>
    </row>
    <row r="46" spans="1:6" x14ac:dyDescent="0.3">
      <c r="B46" s="94" t="s">
        <v>183</v>
      </c>
      <c r="E46" s="95">
        <f>'[1]Unallocated Detail (CBR)'!$G$31</f>
        <v>19386737.890000001</v>
      </c>
    </row>
    <row r="47" spans="1:6" x14ac:dyDescent="0.3">
      <c r="B47" s="126" t="s">
        <v>231</v>
      </c>
      <c r="E47" s="95">
        <f>-'Other Elec Revenue'!E46</f>
        <v>52511724.609999999</v>
      </c>
    </row>
    <row r="48" spans="1:6" ht="15" thickBot="1" x14ac:dyDescent="0.35">
      <c r="B48" s="59" t="s">
        <v>203</v>
      </c>
      <c r="E48" s="96">
        <f>SUM(E44:E47)</f>
        <v>86367531.129999995</v>
      </c>
      <c r="F48" s="97"/>
    </row>
    <row r="49" spans="6:6" ht="15" thickTop="1" x14ac:dyDescent="0.3">
      <c r="F49" s="97"/>
    </row>
  </sheetData>
  <dataValidations count="1">
    <dataValidation showInputMessage="1" errorTitle="test" error="test" sqref="F17"/>
  </dataValidations>
  <pageMargins left="0.7" right="0.7" top="0.75" bottom="0.75" header="0.3" footer="0.3"/>
  <pageSetup scale="57" orientation="landscape" r:id="rId1"/>
  <customProperties>
    <customPr name="_pios_id" r:id="rId2"/>
  </customProperties>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8"/>
  <sheetViews>
    <sheetView zoomScaleNormal="100" workbookViewId="0">
      <selection activeCell="D12" sqref="D12"/>
    </sheetView>
  </sheetViews>
  <sheetFormatPr defaultColWidth="11.42578125" defaultRowHeight="14.4" x14ac:dyDescent="0.3"/>
  <cols>
    <col min="1" max="1" width="11.7109375" style="83" customWidth="1"/>
    <col min="2" max="2" width="151.42578125" style="59" customWidth="1"/>
    <col min="3" max="3" width="4.7109375" style="59" bestFit="1" customWidth="1"/>
    <col min="4" max="4" width="22.7109375" style="59" bestFit="1" customWidth="1"/>
    <col min="5" max="5" width="20.42578125" style="59" bestFit="1" customWidth="1"/>
    <col min="6" max="6" width="25.42578125" style="59" bestFit="1" customWidth="1"/>
    <col min="7" max="16384" width="11.42578125" style="59"/>
  </cols>
  <sheetData>
    <row r="1" spans="1:6" x14ac:dyDescent="0.3">
      <c r="A1" s="71" t="s">
        <v>116</v>
      </c>
      <c r="B1" s="71"/>
      <c r="C1" s="71"/>
      <c r="D1" s="71"/>
      <c r="E1" s="71"/>
      <c r="F1" s="71"/>
    </row>
    <row r="2" spans="1:6" x14ac:dyDescent="0.3">
      <c r="A2" s="71" t="s">
        <v>184</v>
      </c>
      <c r="B2" s="71"/>
      <c r="C2" s="71"/>
      <c r="D2" s="71"/>
      <c r="E2" s="71"/>
      <c r="F2" s="71"/>
    </row>
    <row r="3" spans="1:6" x14ac:dyDescent="0.3">
      <c r="A3" s="71" t="s">
        <v>118</v>
      </c>
      <c r="B3" s="72"/>
      <c r="C3" s="72"/>
      <c r="D3" s="72"/>
      <c r="E3" s="72"/>
      <c r="F3" s="72"/>
    </row>
    <row r="5" spans="1:6" x14ac:dyDescent="0.3">
      <c r="A5" s="73" t="s">
        <v>185</v>
      </c>
    </row>
    <row r="6" spans="1:6" x14ac:dyDescent="0.3">
      <c r="A6" s="74" t="s">
        <v>186</v>
      </c>
    </row>
    <row r="7" spans="1:6" x14ac:dyDescent="0.3">
      <c r="A7" s="74" t="s">
        <v>187</v>
      </c>
    </row>
    <row r="8" spans="1:6" x14ac:dyDescent="0.3">
      <c r="A8" s="74" t="s">
        <v>122</v>
      </c>
    </row>
    <row r="9" spans="1:6" x14ac:dyDescent="0.3">
      <c r="A9" s="74" t="s">
        <v>188</v>
      </c>
    </row>
    <row r="10" spans="1:6" x14ac:dyDescent="0.3">
      <c r="A10" s="74"/>
    </row>
    <row r="11" spans="1:6" x14ac:dyDescent="0.3">
      <c r="A11" s="75" t="s">
        <v>124</v>
      </c>
    </row>
    <row r="12" spans="1:6" x14ac:dyDescent="0.3">
      <c r="A12" s="75" t="s">
        <v>125</v>
      </c>
      <c r="B12" s="59" t="s">
        <v>189</v>
      </c>
      <c r="C12" s="76" t="s">
        <v>125</v>
      </c>
      <c r="D12" s="77">
        <f>'[1]Allocated (CBR)'!$C$9</f>
        <v>1205997643.1699998</v>
      </c>
    </row>
    <row r="13" spans="1:6" x14ac:dyDescent="0.3">
      <c r="A13" s="75" t="s">
        <v>127</v>
      </c>
      <c r="B13" s="59" t="s">
        <v>128</v>
      </c>
      <c r="C13" s="78" t="s">
        <v>129</v>
      </c>
      <c r="D13" s="59" t="s">
        <v>127</v>
      </c>
    </row>
    <row r="14" spans="1:6" x14ac:dyDescent="0.3">
      <c r="A14" s="75" t="s">
        <v>130</v>
      </c>
      <c r="B14" s="59" t="s">
        <v>131</v>
      </c>
      <c r="C14" s="78"/>
      <c r="D14" s="59" t="s">
        <v>130</v>
      </c>
    </row>
    <row r="15" spans="1:6" x14ac:dyDescent="0.3">
      <c r="A15" s="75" t="s">
        <v>132</v>
      </c>
      <c r="B15" s="59" t="s">
        <v>133</v>
      </c>
      <c r="C15" s="59" t="s">
        <v>132</v>
      </c>
      <c r="D15" s="77"/>
    </row>
    <row r="16" spans="1:6" x14ac:dyDescent="0.3">
      <c r="A16" s="75" t="s">
        <v>134</v>
      </c>
      <c r="B16" s="59" t="s">
        <v>135</v>
      </c>
      <c r="C16" s="59" t="s">
        <v>134</v>
      </c>
      <c r="D16" s="77"/>
    </row>
    <row r="17" spans="1:6" ht="15" thickBot="1" x14ac:dyDescent="0.35">
      <c r="A17" s="75">
        <v>1</v>
      </c>
      <c r="B17" s="79" t="s">
        <v>136</v>
      </c>
      <c r="D17" s="59" t="s">
        <v>137</v>
      </c>
      <c r="E17" s="59">
        <v>1</v>
      </c>
      <c r="F17" s="80">
        <f>+D12</f>
        <v>1205997643.1699998</v>
      </c>
    </row>
    <row r="18" spans="1:6" ht="15.6" thickTop="1" thickBot="1" x14ac:dyDescent="0.35">
      <c r="A18" s="75">
        <v>2</v>
      </c>
      <c r="B18" s="59" t="s">
        <v>190</v>
      </c>
      <c r="E18" s="59">
        <v>2</v>
      </c>
      <c r="F18" s="80"/>
    </row>
    <row r="19" spans="1:6" ht="15" thickTop="1" x14ac:dyDescent="0.3">
      <c r="A19" s="75">
        <v>3</v>
      </c>
      <c r="B19" s="59" t="s">
        <v>140</v>
      </c>
      <c r="E19" s="59">
        <v>3</v>
      </c>
      <c r="F19" s="81">
        <f>SUM(F17:F18)</f>
        <v>1205997643.1699998</v>
      </c>
    </row>
    <row r="20" spans="1:6" x14ac:dyDescent="0.3">
      <c r="A20" s="75">
        <v>4</v>
      </c>
      <c r="B20" s="59" t="s">
        <v>141</v>
      </c>
      <c r="E20" s="59">
        <v>4</v>
      </c>
      <c r="F20" s="82"/>
    </row>
    <row r="21" spans="1:6" x14ac:dyDescent="0.3">
      <c r="A21" s="75" t="s">
        <v>142</v>
      </c>
      <c r="B21" s="59" t="s">
        <v>143</v>
      </c>
      <c r="E21" s="83" t="s">
        <v>144</v>
      </c>
      <c r="F21" s="84">
        <f>IF(AND(F19&gt;=1,F19&lt;20000),"ZERO", 0)</f>
        <v>0</v>
      </c>
    </row>
    <row r="22" spans="1:6" x14ac:dyDescent="0.3">
      <c r="A22" s="75" t="s">
        <v>145</v>
      </c>
      <c r="B22" s="59" t="s">
        <v>146</v>
      </c>
      <c r="C22" s="59" t="s">
        <v>147</v>
      </c>
      <c r="D22" s="85">
        <f>IF(AND(20000&lt;=F19,F19&lt;=50000),F19, 0)</f>
        <v>0</v>
      </c>
      <c r="E22" s="82" t="s">
        <v>148</v>
      </c>
      <c r="F22" s="86">
        <f>IF(D22&gt;1, (D22*0.001), 0)</f>
        <v>0</v>
      </c>
    </row>
    <row r="23" spans="1:6" x14ac:dyDescent="0.3">
      <c r="A23" s="75"/>
      <c r="B23" s="59" t="s">
        <v>149</v>
      </c>
    </row>
    <row r="24" spans="1:6" x14ac:dyDescent="0.3">
      <c r="A24" s="75" t="s">
        <v>150</v>
      </c>
      <c r="B24" s="59" t="s">
        <v>151</v>
      </c>
      <c r="C24" s="59" t="s">
        <v>152</v>
      </c>
      <c r="D24" s="86">
        <f>IF(F19&gt;50000, F19, 0)</f>
        <v>1205997643.1699998</v>
      </c>
    </row>
    <row r="25" spans="1:6" x14ac:dyDescent="0.3">
      <c r="A25" s="75" t="s">
        <v>153</v>
      </c>
      <c r="B25" s="59" t="s">
        <v>154</v>
      </c>
      <c r="C25" s="59" t="s">
        <v>155</v>
      </c>
      <c r="D25" s="86">
        <f>IF(D24&gt;1, 50000, 0)</f>
        <v>50000</v>
      </c>
      <c r="E25" s="82" t="s">
        <v>148</v>
      </c>
      <c r="F25" s="86">
        <f t="shared" ref="F25" si="0">IF(D25&gt;1, (D25*0.001), 0)</f>
        <v>50</v>
      </c>
    </row>
    <row r="26" spans="1:6" x14ac:dyDescent="0.3">
      <c r="A26" s="75" t="s">
        <v>156</v>
      </c>
      <c r="B26" s="59" t="s">
        <v>157</v>
      </c>
      <c r="C26" s="59" t="s">
        <v>158</v>
      </c>
      <c r="D26" s="86">
        <f>+D24-D25</f>
        <v>1205947643.1699998</v>
      </c>
      <c r="E26" s="118" t="s">
        <v>228</v>
      </c>
      <c r="F26" s="86">
        <f>IF(D26&gt;1, (D26*0.004), 0)</f>
        <v>4823790.5726799993</v>
      </c>
    </row>
    <row r="27" spans="1:6" x14ac:dyDescent="0.3">
      <c r="A27" s="75">
        <v>5</v>
      </c>
      <c r="B27" s="59" t="s">
        <v>159</v>
      </c>
      <c r="E27" s="59">
        <v>5</v>
      </c>
      <c r="F27" s="86">
        <f>SUM(F25:F26)</f>
        <v>4823840.5726799993</v>
      </c>
    </row>
    <row r="28" spans="1:6" x14ac:dyDescent="0.3">
      <c r="A28" s="75"/>
      <c r="E28" s="87" t="s">
        <v>160</v>
      </c>
      <c r="F28" s="88" t="s">
        <v>161</v>
      </c>
    </row>
    <row r="29" spans="1:6" x14ac:dyDescent="0.3">
      <c r="A29" s="75"/>
      <c r="B29" s="79" t="s">
        <v>162</v>
      </c>
    </row>
    <row r="30" spans="1:6" x14ac:dyDescent="0.3">
      <c r="A30" s="75">
        <v>6</v>
      </c>
      <c r="B30" s="59" t="s">
        <v>163</v>
      </c>
      <c r="E30" s="59">
        <v>6</v>
      </c>
      <c r="F30" s="82"/>
    </row>
    <row r="31" spans="1:6" x14ac:dyDescent="0.3">
      <c r="A31" s="75" t="s">
        <v>164</v>
      </c>
      <c r="B31" s="59" t="s">
        <v>165</v>
      </c>
      <c r="C31" s="59" t="s">
        <v>166</v>
      </c>
      <c r="D31" s="89">
        <v>0</v>
      </c>
      <c r="E31" s="82" t="s">
        <v>167</v>
      </c>
      <c r="F31" s="86">
        <f>IF(D31&gt;0, (D31*0.02), 0)</f>
        <v>0</v>
      </c>
    </row>
    <row r="32" spans="1:6" x14ac:dyDescent="0.3">
      <c r="A32" s="75">
        <v>7</v>
      </c>
      <c r="B32" s="59" t="s">
        <v>168</v>
      </c>
      <c r="E32" s="59">
        <v>7</v>
      </c>
      <c r="F32" s="82"/>
    </row>
    <row r="33" spans="1:8" x14ac:dyDescent="0.3">
      <c r="A33" s="75" t="s">
        <v>169</v>
      </c>
      <c r="B33" s="59" t="s">
        <v>170</v>
      </c>
      <c r="E33" s="83" t="s">
        <v>169</v>
      </c>
      <c r="F33" s="90"/>
    </row>
    <row r="34" spans="1:8" x14ac:dyDescent="0.3">
      <c r="A34" s="75" t="s">
        <v>171</v>
      </c>
      <c r="B34" s="59" t="s">
        <v>172</v>
      </c>
      <c r="E34" s="83" t="s">
        <v>171</v>
      </c>
      <c r="F34" s="86">
        <f>F27*F33*0.01</f>
        <v>0</v>
      </c>
    </row>
    <row r="35" spans="1:8" x14ac:dyDescent="0.3">
      <c r="A35" s="75">
        <v>8</v>
      </c>
      <c r="B35" s="59" t="s">
        <v>173</v>
      </c>
      <c r="E35" s="59">
        <v>8</v>
      </c>
      <c r="F35" s="86">
        <f>SUM(F34,F31)</f>
        <v>0</v>
      </c>
    </row>
    <row r="36" spans="1:8" x14ac:dyDescent="0.3">
      <c r="A36" s="75"/>
      <c r="E36" s="59" t="s">
        <v>160</v>
      </c>
      <c r="F36" s="88" t="s">
        <v>174</v>
      </c>
    </row>
    <row r="37" spans="1:8" x14ac:dyDescent="0.3">
      <c r="A37" s="75"/>
    </row>
    <row r="38" spans="1:8" x14ac:dyDescent="0.3">
      <c r="A38" s="75">
        <v>9</v>
      </c>
      <c r="B38" s="59" t="s">
        <v>191</v>
      </c>
      <c r="E38" s="59">
        <v>9</v>
      </c>
      <c r="F38" s="86">
        <f>IF((F21="ZERO"),"ZERO",SUM(F22,F27,F35))</f>
        <v>4823840.5726799993</v>
      </c>
    </row>
    <row r="39" spans="1:8" x14ac:dyDescent="0.3">
      <c r="A39" s="75"/>
    </row>
    <row r="40" spans="1:8" ht="100.8" x14ac:dyDescent="0.3">
      <c r="A40" s="75" t="s">
        <v>176</v>
      </c>
      <c r="B40" s="92" t="s">
        <v>192</v>
      </c>
    </row>
    <row r="41" spans="1:8" ht="28.8" x14ac:dyDescent="0.3">
      <c r="A41" s="75" t="s">
        <v>178</v>
      </c>
      <c r="B41" s="92" t="s">
        <v>179</v>
      </c>
    </row>
    <row r="43" spans="1:8" x14ac:dyDescent="0.3">
      <c r="G43" s="91"/>
      <c r="H43" s="91"/>
    </row>
    <row r="44" spans="1:8" x14ac:dyDescent="0.3">
      <c r="G44" s="91"/>
      <c r="H44" s="91"/>
    </row>
    <row r="45" spans="1:8" x14ac:dyDescent="0.3">
      <c r="G45" s="91"/>
      <c r="H45" s="91"/>
    </row>
    <row r="46" spans="1:8" x14ac:dyDescent="0.3">
      <c r="G46" s="91"/>
      <c r="H46" s="91"/>
    </row>
    <row r="47" spans="1:8" x14ac:dyDescent="0.3">
      <c r="G47" s="91"/>
      <c r="H47" s="91"/>
    </row>
    <row r="48" spans="1:8" x14ac:dyDescent="0.3">
      <c r="B48" s="91"/>
      <c r="C48" s="91"/>
      <c r="D48" s="91"/>
      <c r="E48" s="91"/>
      <c r="F48" s="91"/>
      <c r="G48" s="91"/>
      <c r="H48" s="91"/>
    </row>
  </sheetData>
  <dataValidations count="1">
    <dataValidation showInputMessage="1" errorTitle="test" error="test" sqref="F17"/>
  </dataValidations>
  <pageMargins left="0.7" right="0.7" top="0.75" bottom="0.75" header="0.3" footer="0.3"/>
  <pageSetup scale="66" orientation="landscape" r:id="rId1"/>
  <customProperties>
    <customPr name="_pios_id" r:id="rId2"/>
  </customProperties>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F46" sqref="F46"/>
    </sheetView>
  </sheetViews>
  <sheetFormatPr defaultRowHeight="12" x14ac:dyDescent="0.25"/>
  <cols>
    <col min="1" max="1" width="20.85546875" customWidth="1"/>
    <col min="2" max="2" width="14" customWidth="1"/>
    <col min="3" max="3" width="10.85546875" customWidth="1"/>
    <col min="4" max="4" width="44.42578125" customWidth="1"/>
    <col min="5" max="5" width="17.85546875" customWidth="1"/>
  </cols>
  <sheetData>
    <row r="1" spans="1:5" x14ac:dyDescent="0.25">
      <c r="A1" s="107" t="s">
        <v>206</v>
      </c>
      <c r="B1" s="107" t="s">
        <v>206</v>
      </c>
      <c r="C1" s="107" t="s">
        <v>206</v>
      </c>
      <c r="D1" s="107" t="s">
        <v>206</v>
      </c>
      <c r="E1" s="108" t="s">
        <v>202</v>
      </c>
    </row>
    <row r="2" spans="1:5" x14ac:dyDescent="0.25">
      <c r="A2" s="107" t="s">
        <v>0</v>
      </c>
      <c r="B2" s="101"/>
      <c r="C2" s="107" t="s">
        <v>1</v>
      </c>
      <c r="D2" s="107" t="s">
        <v>206</v>
      </c>
      <c r="E2" s="109" t="s">
        <v>2</v>
      </c>
    </row>
    <row r="3" spans="1:5" x14ac:dyDescent="0.25">
      <c r="A3" s="108" t="s">
        <v>3</v>
      </c>
      <c r="B3" s="110" t="s">
        <v>4</v>
      </c>
      <c r="C3" s="110" t="s">
        <v>5</v>
      </c>
      <c r="D3" s="108" t="s">
        <v>6</v>
      </c>
      <c r="E3" s="104">
        <v>1748334.4</v>
      </c>
    </row>
    <row r="4" spans="1:5" x14ac:dyDescent="0.25">
      <c r="A4" s="102"/>
      <c r="B4" s="100"/>
      <c r="C4" s="110" t="s">
        <v>207</v>
      </c>
      <c r="D4" s="108" t="s">
        <v>208</v>
      </c>
      <c r="E4" s="104">
        <v>-312779</v>
      </c>
    </row>
    <row r="5" spans="1:5" x14ac:dyDescent="0.25">
      <c r="A5" s="102"/>
      <c r="B5" s="100"/>
      <c r="C5" s="110" t="s">
        <v>7</v>
      </c>
      <c r="D5" s="108" t="s">
        <v>8</v>
      </c>
      <c r="E5" s="104">
        <v>-230093.89</v>
      </c>
    </row>
    <row r="6" spans="1:5" x14ac:dyDescent="0.25">
      <c r="A6" s="102"/>
      <c r="B6" s="100"/>
      <c r="C6" s="110" t="s">
        <v>9</v>
      </c>
      <c r="D6" s="108" t="s">
        <v>10</v>
      </c>
      <c r="E6" s="104">
        <v>-355023.18</v>
      </c>
    </row>
    <row r="7" spans="1:5" x14ac:dyDescent="0.25">
      <c r="A7" s="102"/>
      <c r="B7" s="100"/>
      <c r="C7" s="110" t="s">
        <v>11</v>
      </c>
      <c r="D7" s="108" t="s">
        <v>12</v>
      </c>
      <c r="E7" s="104">
        <v>-302075402.47000003</v>
      </c>
    </row>
    <row r="8" spans="1:5" x14ac:dyDescent="0.25">
      <c r="A8" s="102"/>
      <c r="B8" s="100"/>
      <c r="C8" s="110" t="s">
        <v>13</v>
      </c>
      <c r="D8" s="108" t="s">
        <v>14</v>
      </c>
      <c r="E8" s="104">
        <v>191051050.36000001</v>
      </c>
    </row>
    <row r="9" spans="1:5" x14ac:dyDescent="0.25">
      <c r="A9" s="102"/>
      <c r="B9" s="100"/>
      <c r="C9" s="110" t="s">
        <v>15</v>
      </c>
      <c r="D9" s="108" t="s">
        <v>16</v>
      </c>
      <c r="E9" s="104">
        <v>-64442.6</v>
      </c>
    </row>
    <row r="10" spans="1:5" x14ac:dyDescent="0.25">
      <c r="A10" s="102"/>
      <c r="B10" s="100"/>
      <c r="C10" s="110" t="s">
        <v>17</v>
      </c>
      <c r="D10" s="108" t="s">
        <v>18</v>
      </c>
      <c r="E10" s="104">
        <v>-404594.85</v>
      </c>
    </row>
    <row r="11" spans="1:5" x14ac:dyDescent="0.25">
      <c r="A11" s="102"/>
      <c r="B11" s="100"/>
      <c r="C11" s="110" t="s">
        <v>197</v>
      </c>
      <c r="D11" s="108" t="s">
        <v>198</v>
      </c>
      <c r="E11" s="104">
        <v>16844164.780000001</v>
      </c>
    </row>
    <row r="12" spans="1:5" x14ac:dyDescent="0.25">
      <c r="A12" s="102"/>
      <c r="B12" s="100"/>
      <c r="C12" s="110" t="s">
        <v>209</v>
      </c>
      <c r="D12" s="108" t="s">
        <v>210</v>
      </c>
      <c r="E12" s="104">
        <v>-20000</v>
      </c>
    </row>
    <row r="13" spans="1:5" x14ac:dyDescent="0.25">
      <c r="A13" s="102"/>
      <c r="B13" s="100"/>
      <c r="C13" s="110" t="s">
        <v>19</v>
      </c>
      <c r="D13" s="108" t="s">
        <v>20</v>
      </c>
      <c r="E13" s="104">
        <v>673835.12</v>
      </c>
    </row>
    <row r="14" spans="1:5" x14ac:dyDescent="0.25">
      <c r="A14" s="102"/>
      <c r="B14" s="100"/>
      <c r="C14" s="110" t="s">
        <v>21</v>
      </c>
      <c r="D14" s="108" t="s">
        <v>22</v>
      </c>
      <c r="E14" s="104">
        <v>-4787888.55</v>
      </c>
    </row>
    <row r="15" spans="1:5" x14ac:dyDescent="0.25">
      <c r="A15" s="102"/>
      <c r="B15" s="100"/>
      <c r="C15" s="110" t="s">
        <v>23</v>
      </c>
      <c r="D15" s="108" t="s">
        <v>24</v>
      </c>
      <c r="E15" s="104">
        <v>29269.41</v>
      </c>
    </row>
    <row r="16" spans="1:5" x14ac:dyDescent="0.25">
      <c r="A16" s="102"/>
      <c r="B16" s="100"/>
      <c r="C16" s="110" t="s">
        <v>25</v>
      </c>
      <c r="D16" s="108" t="s">
        <v>26</v>
      </c>
      <c r="E16" s="104">
        <v>18796915.449999999</v>
      </c>
    </row>
    <row r="17" spans="1:5" x14ac:dyDescent="0.25">
      <c r="A17" s="102"/>
      <c r="B17" s="100"/>
      <c r="C17" s="110" t="s">
        <v>27</v>
      </c>
      <c r="D17" s="108" t="s">
        <v>28</v>
      </c>
      <c r="E17" s="104">
        <v>4984484.58</v>
      </c>
    </row>
    <row r="18" spans="1:5" x14ac:dyDescent="0.25">
      <c r="A18" s="102"/>
      <c r="B18" s="100"/>
      <c r="C18" s="110" t="s">
        <v>29</v>
      </c>
      <c r="D18" s="108" t="s">
        <v>30</v>
      </c>
      <c r="E18" s="104">
        <v>2878440.45</v>
      </c>
    </row>
    <row r="19" spans="1:5" x14ac:dyDescent="0.25">
      <c r="A19" s="102"/>
      <c r="B19" s="100"/>
      <c r="C19" s="110" t="s">
        <v>31</v>
      </c>
      <c r="D19" s="108" t="s">
        <v>32</v>
      </c>
      <c r="E19" s="104">
        <v>-684887.33</v>
      </c>
    </row>
    <row r="20" spans="1:5" x14ac:dyDescent="0.25">
      <c r="A20" s="102"/>
      <c r="B20" s="100"/>
      <c r="C20" s="110" t="s">
        <v>33</v>
      </c>
      <c r="D20" s="108" t="s">
        <v>34</v>
      </c>
      <c r="E20" s="104">
        <v>1112062.6100000001</v>
      </c>
    </row>
    <row r="21" spans="1:5" x14ac:dyDescent="0.25">
      <c r="A21" s="102"/>
      <c r="B21" s="100"/>
      <c r="C21" s="110" t="s">
        <v>193</v>
      </c>
      <c r="D21" s="108" t="s">
        <v>194</v>
      </c>
      <c r="E21" s="104">
        <v>-1357066.85</v>
      </c>
    </row>
    <row r="22" spans="1:5" x14ac:dyDescent="0.25">
      <c r="A22" s="102"/>
      <c r="B22" s="100"/>
      <c r="C22" s="110" t="s">
        <v>35</v>
      </c>
      <c r="D22" s="108" t="s">
        <v>36</v>
      </c>
      <c r="E22" s="104">
        <v>4906741</v>
      </c>
    </row>
    <row r="23" spans="1:5" x14ac:dyDescent="0.25">
      <c r="A23" s="102"/>
      <c r="B23" s="100"/>
      <c r="C23" s="110" t="s">
        <v>37</v>
      </c>
      <c r="D23" s="108" t="s">
        <v>38</v>
      </c>
      <c r="E23" s="104">
        <v>10024479.539999999</v>
      </c>
    </row>
    <row r="24" spans="1:5" x14ac:dyDescent="0.25">
      <c r="A24" s="102"/>
      <c r="B24" s="100"/>
      <c r="C24" s="110" t="s">
        <v>39</v>
      </c>
      <c r="D24" s="108" t="s">
        <v>40</v>
      </c>
      <c r="E24" s="104">
        <v>454271.74</v>
      </c>
    </row>
    <row r="25" spans="1:5" x14ac:dyDescent="0.25">
      <c r="A25" s="102"/>
      <c r="B25" s="100"/>
      <c r="C25" s="110" t="s">
        <v>41</v>
      </c>
      <c r="D25" s="108" t="s">
        <v>42</v>
      </c>
      <c r="E25" s="104">
        <v>-13650717.23</v>
      </c>
    </row>
    <row r="26" spans="1:5" x14ac:dyDescent="0.25">
      <c r="A26" s="102"/>
      <c r="B26" s="100"/>
      <c r="C26" s="110" t="s">
        <v>43</v>
      </c>
      <c r="D26" s="108" t="s">
        <v>44</v>
      </c>
      <c r="E26" s="104">
        <v>2680590.9</v>
      </c>
    </row>
    <row r="27" spans="1:5" x14ac:dyDescent="0.25">
      <c r="A27" s="102"/>
      <c r="B27" s="100"/>
      <c r="C27" s="110" t="s">
        <v>45</v>
      </c>
      <c r="D27" s="108" t="s">
        <v>46</v>
      </c>
      <c r="E27" s="104">
        <v>5026718.3899999997</v>
      </c>
    </row>
    <row r="28" spans="1:5" x14ac:dyDescent="0.25">
      <c r="A28" s="102"/>
      <c r="B28" s="100"/>
      <c r="C28" s="110" t="s">
        <v>47</v>
      </c>
      <c r="D28" s="108" t="s">
        <v>48</v>
      </c>
      <c r="E28" s="104">
        <v>611874.69999999995</v>
      </c>
    </row>
    <row r="29" spans="1:5" x14ac:dyDescent="0.25">
      <c r="A29" s="102"/>
      <c r="B29" s="100"/>
      <c r="C29" s="110" t="s">
        <v>49</v>
      </c>
      <c r="D29" s="108" t="s">
        <v>50</v>
      </c>
      <c r="E29" s="104">
        <v>3971557.52</v>
      </c>
    </row>
    <row r="30" spans="1:5" x14ac:dyDescent="0.25">
      <c r="A30" s="102"/>
      <c r="B30" s="100"/>
      <c r="C30" s="110" t="s">
        <v>51</v>
      </c>
      <c r="D30" s="108" t="s">
        <v>52</v>
      </c>
      <c r="E30" s="104">
        <v>3051370.44</v>
      </c>
    </row>
    <row r="31" spans="1:5" x14ac:dyDescent="0.25">
      <c r="A31" s="102"/>
      <c r="B31" s="100"/>
      <c r="C31" s="110" t="s">
        <v>195</v>
      </c>
      <c r="D31" s="108" t="s">
        <v>196</v>
      </c>
      <c r="E31" s="104">
        <v>-2856059.62</v>
      </c>
    </row>
    <row r="32" spans="1:5" x14ac:dyDescent="0.25">
      <c r="A32" s="102"/>
      <c r="B32" s="100"/>
      <c r="C32" s="110" t="s">
        <v>53</v>
      </c>
      <c r="D32" s="108" t="s">
        <v>54</v>
      </c>
      <c r="E32" s="104">
        <v>-123045.53</v>
      </c>
    </row>
    <row r="33" spans="1:6" x14ac:dyDescent="0.25">
      <c r="A33" s="102"/>
      <c r="B33" s="100"/>
      <c r="C33" s="110" t="s">
        <v>55</v>
      </c>
      <c r="D33" s="108" t="s">
        <v>56</v>
      </c>
      <c r="E33" s="104">
        <v>-6204629.9800000004</v>
      </c>
    </row>
    <row r="34" spans="1:6" x14ac:dyDescent="0.25">
      <c r="A34" s="102"/>
      <c r="B34" s="100"/>
      <c r="C34" s="110" t="s">
        <v>57</v>
      </c>
      <c r="D34" s="108" t="s">
        <v>199</v>
      </c>
      <c r="E34" s="104">
        <v>-48967.54</v>
      </c>
    </row>
    <row r="35" spans="1:6" x14ac:dyDescent="0.25">
      <c r="A35" s="102"/>
      <c r="B35" s="100"/>
      <c r="C35" s="110" t="s">
        <v>200</v>
      </c>
      <c r="D35" s="108" t="s">
        <v>201</v>
      </c>
      <c r="E35" s="104">
        <v>-15049.81</v>
      </c>
    </row>
    <row r="36" spans="1:6" x14ac:dyDescent="0.25">
      <c r="A36" s="102"/>
      <c r="B36" s="100"/>
      <c r="C36" s="110" t="s">
        <v>211</v>
      </c>
      <c r="D36" s="108" t="s">
        <v>212</v>
      </c>
      <c r="E36" s="104">
        <v>-10640</v>
      </c>
    </row>
    <row r="37" spans="1:6" x14ac:dyDescent="0.25">
      <c r="A37" s="102"/>
      <c r="B37" s="100"/>
      <c r="C37" s="110" t="s">
        <v>213</v>
      </c>
      <c r="D37" s="108" t="s">
        <v>214</v>
      </c>
      <c r="E37" s="104">
        <v>46680</v>
      </c>
    </row>
    <row r="38" spans="1:6" x14ac:dyDescent="0.25">
      <c r="A38" s="102"/>
      <c r="B38" s="100"/>
      <c r="C38" s="110" t="s">
        <v>58</v>
      </c>
      <c r="D38" s="108" t="s">
        <v>59</v>
      </c>
      <c r="E38" s="104">
        <v>18098229.969999999</v>
      </c>
    </row>
    <row r="39" spans="1:6" x14ac:dyDescent="0.25">
      <c r="A39" s="102"/>
      <c r="B39" s="100"/>
      <c r="C39" s="110" t="s">
        <v>60</v>
      </c>
      <c r="D39" s="108" t="s">
        <v>61</v>
      </c>
      <c r="E39" s="104">
        <v>-2105273.83</v>
      </c>
    </row>
    <row r="40" spans="1:6" x14ac:dyDescent="0.25">
      <c r="A40" s="102"/>
      <c r="B40" s="100"/>
      <c r="C40" s="110" t="s">
        <v>62</v>
      </c>
      <c r="D40" s="108" t="s">
        <v>63</v>
      </c>
      <c r="E40" s="104">
        <v>-1572836.47</v>
      </c>
    </row>
    <row r="41" spans="1:6" x14ac:dyDescent="0.25">
      <c r="A41" s="102"/>
      <c r="B41" s="100"/>
      <c r="C41" s="110" t="s">
        <v>64</v>
      </c>
      <c r="D41" s="108" t="s">
        <v>65</v>
      </c>
      <c r="E41" s="104">
        <v>-1903.33</v>
      </c>
    </row>
    <row r="42" spans="1:6" x14ac:dyDescent="0.25">
      <c r="A42" s="102"/>
      <c r="B42" s="100"/>
      <c r="C42" s="110" t="s">
        <v>66</v>
      </c>
      <c r="D42" s="108" t="s">
        <v>67</v>
      </c>
      <c r="E42" s="104">
        <v>3546480.68</v>
      </c>
    </row>
    <row r="43" spans="1:6" x14ac:dyDescent="0.25">
      <c r="A43" s="102"/>
      <c r="B43" s="100"/>
      <c r="C43" s="110" t="s">
        <v>68</v>
      </c>
      <c r="D43" s="108" t="s">
        <v>69</v>
      </c>
      <c r="E43" s="104">
        <v>2759999.17</v>
      </c>
    </row>
    <row r="44" spans="1:6" x14ac:dyDescent="0.25">
      <c r="A44" s="102"/>
      <c r="B44" s="100"/>
      <c r="C44" s="110" t="s">
        <v>70</v>
      </c>
      <c r="D44" s="108" t="s">
        <v>71</v>
      </c>
      <c r="E44" s="104">
        <v>-591427.92000000004</v>
      </c>
    </row>
    <row r="45" spans="1:6" x14ac:dyDescent="0.25">
      <c r="A45" s="102"/>
      <c r="B45" s="100"/>
      <c r="C45" s="110" t="s">
        <v>72</v>
      </c>
      <c r="D45" s="108" t="s">
        <v>73</v>
      </c>
      <c r="E45" s="104">
        <v>-8336545.8399999999</v>
      </c>
    </row>
    <row r="46" spans="1:6" x14ac:dyDescent="0.25">
      <c r="A46" s="102"/>
      <c r="B46" s="102"/>
      <c r="C46" s="111" t="s">
        <v>97</v>
      </c>
      <c r="D46" s="106"/>
      <c r="E46" s="119">
        <v>-52511724.609999999</v>
      </c>
      <c r="F46" t="s">
        <v>227</v>
      </c>
    </row>
  </sheetData>
  <pageMargins left="0.7" right="0.7" top="0.75" bottom="0.75" header="0.3" footer="0.3"/>
  <pageSetup orientation="portrait" r:id="rId1"/>
  <customProperties>
    <customPr name="_pios_id" r:id="rId2"/>
    <customPr name="CofWorksheetType"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Application xmlns="http://www.sap.com/cof/excel/application">
  <Version>2</Version>
  <Revision>2.8.1300.98253</Revision>
</Application>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CCA0EFAD2D47E42A2D5D991393F51AC" ma:contentTypeVersion="24" ma:contentTypeDescription="" ma:contentTypeScope="" ma:versionID="b3b072060836a50b19203ff3093a37b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Pending</CaseStatus>
    <OpenedDate xmlns="dc463f71-b30c-4ab2-9473-d307f9d35888">2023-03-30T07:00:00+00:00</OpenedDate>
    <SignificantOrder xmlns="dc463f71-b30c-4ab2-9473-d307f9d35888">false</SignificantOrder>
    <Date1 xmlns="dc463f71-b30c-4ab2-9473-d307f9d35888">2023-03-30T07:00:00+00:00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230209</DocketNumber>
    <DelegatedOrder xmlns="dc463f71-b30c-4ab2-9473-d307f9d35888">false</DelegatedOrder>
  </documentManagement>
</p:properties>
</file>

<file path=customXml/itemProps1.xml><?xml version="1.0" encoding="utf-8"?>
<ds:datastoreItem xmlns:ds="http://schemas.openxmlformats.org/officeDocument/2006/customXml" ds:itemID="{79789B16-D072-4876-A9E4-40F154DD7325}">
  <ds:schemaRefs>
    <ds:schemaRef ds:uri="http://www.sap.com/cof/excel/application"/>
  </ds:schemaRefs>
</ds:datastoreItem>
</file>

<file path=customXml/itemProps2.xml><?xml version="1.0" encoding="utf-8"?>
<ds:datastoreItem xmlns:ds="http://schemas.openxmlformats.org/officeDocument/2006/customXml" ds:itemID="{7AEAA5FE-D483-4D80-B188-7333CDD77631}"/>
</file>

<file path=customXml/itemProps3.xml><?xml version="1.0" encoding="utf-8"?>
<ds:datastoreItem xmlns:ds="http://schemas.openxmlformats.org/officeDocument/2006/customXml" ds:itemID="{DF9C9B26-5233-40A9-89EA-5091330A80CD}"/>
</file>

<file path=customXml/itemProps4.xml><?xml version="1.0" encoding="utf-8"?>
<ds:datastoreItem xmlns:ds="http://schemas.openxmlformats.org/officeDocument/2006/customXml" ds:itemID="{D8C3FE38-570D-47A6-A960-EA932C97501E}"/>
</file>

<file path=customXml/itemProps5.xml><?xml version="1.0" encoding="utf-8"?>
<ds:datastoreItem xmlns:ds="http://schemas.openxmlformats.org/officeDocument/2006/customXml" ds:itemID="{18C9AA5D-9BDD-477A-8996-ECAD8135B4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Lead E</vt:lpstr>
      <vt:lpstr>Lead G</vt:lpstr>
      <vt:lpstr>Excise Tax </vt:lpstr>
      <vt:lpstr>Filing Fees</vt:lpstr>
      <vt:lpstr>E Filing Fee Restated</vt:lpstr>
      <vt:lpstr>G Filing Fee Restated</vt:lpstr>
      <vt:lpstr>Other Elec Revenue</vt:lpstr>
      <vt:lpstr>SAPCrosstab1</vt:lpstr>
      <vt:lpstr>SAPCrosstab2</vt:lpstr>
      <vt:lpstr>SAPCrosstab3</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Pete</dc:creator>
  <cp:lastModifiedBy>Marina</cp:lastModifiedBy>
  <dcterms:created xsi:type="dcterms:W3CDTF">2020-01-30T21:49:52Z</dcterms:created>
  <dcterms:modified xsi:type="dcterms:W3CDTF">2023-03-28T18:49:21Z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ContentTypeId">
    <vt:lpwstr>0x0101006E56B4D1795A2E4DB2F0B01679ED314A000CCA0EFAD2D47E42A2D5D991393F51AC</vt:lpwstr>
  </property>
  <property fmtid="{D5CDD505-2E9C-101B-9397-08002B2CF9AE}" pid="4" name="_docset_NoMedatataSyncRequired">
    <vt:lpwstr>False</vt:lpwstr>
  </property>
  <property fmtid="{D5CDD505-2E9C-101B-9397-08002B2CF9AE}" pid="5" name="IsEFSEC">
    <vt:bool>false</vt:bool>
  </property>
</Properties>
</file>