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7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8.xml" ContentType="application/vnd.openxmlformats-officedocument.drawing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drawings/drawing9.xml" ContentType="application/vnd.openxmlformats-officedocument.drawing+xml"/>
  <Override PartName="/xl/worksheets/sheet18.xml" ContentType="application/vnd.openxmlformats-officedocument.spreadsheetml.worksheet+xml"/>
  <Override PartName="/xl/drawings/drawing10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="http://schemas.microsoft.com/office/spreadsheetml/2014/revision" xmlns:xr2="http://schemas.microsoft.com/office/spreadsheetml/2015/revision2" xmlns:xr10="http://schemas.microsoft.com/office/spreadsheetml/2016/revision10" xmlns:xr6="http://schemas.microsoft.com/office/spreadsheetml/2016/revision6" mc:Ignorable="x15 xr xr6 xr10 xr2">
  <fileVersion appName="xl" lastEdited="7" lowestEdited="6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\\helsell.com\helsell\G Drive\Users\DFJ\OWSI\2023\Further presentation to Commission\"/>
    </mc:Choice>
  </mc:AlternateContent>
  <bookViews>
    <workbookView xWindow="-110" yWindow="-110" windowWidth="25820" windowHeight="15620" tabRatio="712" activeTab="0"/>
  </bookViews>
  <sheets>
    <sheet name="Comparison" sheetId="1" r:id="rId2"/>
    <sheet name="2017" sheetId="2" r:id="rId3"/>
    <sheet name="2018" sheetId="3" r:id="rId4"/>
    <sheet name="2019" sheetId="4" r:id="rId5"/>
    <sheet name="2020" sheetId="5" r:id="rId6"/>
    <sheet name="2021" sheetId="6" r:id="rId7"/>
    <sheet name="2022" sheetId="7" r:id="rId8"/>
    <sheet name="Fed Tax 2017" sheetId="16" r:id="rId9"/>
    <sheet name="Fed Tax 2018" sheetId="12" r:id="rId10"/>
    <sheet name="Fed Tax 2019" sheetId="18" r:id="rId11"/>
    <sheet name="Fed Tax 2020" sheetId="19" r:id="rId12"/>
    <sheet name="Fed Tax 2021" sheetId="20" r:id="rId13"/>
    <sheet name="Fed Tax 2022" sheetId="14" r:id="rId14"/>
    <sheet name="Tax Act-Computed" sheetId="17" state="hidden" r:id="rId15"/>
    <sheet name="Time Reg &amp; OT" sheetId="9" r:id="rId16"/>
    <sheet name="3% MGT Fee" sheetId="10" r:id="rId17"/>
    <sheet name="Conflicting Inc Stm" sheetId="11" r:id="rId18"/>
    <sheet name="Meter Install" sheetId="15" r:id="rId19"/>
  </sheets>
  <definedNames>
    <definedName name="_xlnm.Print_Area" localSheetId="5">'2021'!$A$1:$K$40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<sst xmlns="http://schemas.openxmlformats.org/spreadsheetml/2006/main" count="734" uniqueCount="291">
  <si>
    <t>Olympic Water and Sewer UTC Filing Schedule 1</t>
  </si>
  <si>
    <t>Year</t>
  </si>
  <si>
    <t>Income Statement</t>
  </si>
  <si>
    <t>Operating Revenue</t>
  </si>
  <si>
    <t>Other Revenue</t>
  </si>
  <si>
    <t>Utility Operating Revenue</t>
  </si>
  <si>
    <t>Total</t>
  </si>
  <si>
    <t>Expenses</t>
  </si>
  <si>
    <t>Operating Expense Accounts</t>
  </si>
  <si>
    <t>Depreciation Expense</t>
  </si>
  <si>
    <t>Amortization Expense</t>
  </si>
  <si>
    <t>Other Tax and License</t>
  </si>
  <si>
    <t>Interest Expense</t>
  </si>
  <si>
    <t>Federal Income Tax</t>
  </si>
  <si>
    <t>Utility Operating Expense</t>
  </si>
  <si>
    <t>Utility Operating Income or (Loss)</t>
  </si>
  <si>
    <t>Report: Calculated Time Summary: Copy of Calculated Time Summary - $ Split</t>
  </si>
  <si>
    <t>Sorted By: Last Name Ascending; First Name Ascending</t>
  </si>
  <si>
    <t>Filtered By: Employee Filter: All Employees; Counter Date: 01/01/2022-12/31/2022; Department in Water G&amp;A,Sewer G&amp;A</t>
  </si>
  <si>
    <t>Date &amp; Time: 03/09/2023 09:52a</t>
  </si>
  <si>
    <t>Generated By: Gregory Rae</t>
  </si>
  <si>
    <t>Company: Port Ludlow Associates LLC (90539)</t>
  </si>
  <si>
    <t xml:space="preserve"> Department</t>
  </si>
  <si>
    <t>Sick Hours</t>
  </si>
  <si>
    <t>Floating Holiday Hours</t>
  </si>
  <si>
    <t>Holiday Hours</t>
  </si>
  <si>
    <t>Vacation Hours</t>
  </si>
  <si>
    <t>Vacation Payout Hours</t>
  </si>
  <si>
    <t>Enrique</t>
  </si>
  <si>
    <t>Denkfranco</t>
  </si>
  <si>
    <t>Water G&amp;A</t>
  </si>
  <si>
    <t>-</t>
  </si>
  <si>
    <t>Sewer G&amp;A</t>
  </si>
  <si>
    <t>John</t>
  </si>
  <si>
    <t>Graham</t>
  </si>
  <si>
    <t>Michael</t>
  </si>
  <si>
    <t>Graves</t>
  </si>
  <si>
    <t>Alexander</t>
  </si>
  <si>
    <t>Jones</t>
  </si>
  <si>
    <t>Dawson</t>
  </si>
  <si>
    <t>Lawrence</t>
  </si>
  <si>
    <t>Shae</t>
  </si>
  <si>
    <t>Sill</t>
  </si>
  <si>
    <t>Joseph</t>
  </si>
  <si>
    <t>Spears</t>
  </si>
  <si>
    <t>Rustin</t>
  </si>
  <si>
    <t>Webb</t>
  </si>
  <si>
    <t xml:space="preserve">Water </t>
  </si>
  <si>
    <t>Hours</t>
  </si>
  <si>
    <t>Sewer</t>
  </si>
  <si>
    <t>Weekly</t>
  </si>
  <si>
    <t>Overtime</t>
  </si>
  <si>
    <t>ID</t>
  </si>
  <si>
    <t>Employee</t>
  </si>
  <si>
    <t xml:space="preserve">First   </t>
  </si>
  <si>
    <t>Name</t>
  </si>
  <si>
    <t xml:space="preserve">Last   </t>
  </si>
  <si>
    <t>Counter Date: 01/01/2022-12/31/2022</t>
  </si>
  <si>
    <t>Regular</t>
  </si>
  <si>
    <t>Water</t>
  </si>
  <si>
    <t>Reg Hours</t>
  </si>
  <si>
    <t>OT Hours</t>
  </si>
  <si>
    <t xml:space="preserve">      Total Hours</t>
  </si>
  <si>
    <t>Statistically Insignificant</t>
  </si>
  <si>
    <t>Expenses Before Taxes</t>
  </si>
  <si>
    <t>Income or (Loss) Before Fed Tax</t>
  </si>
  <si>
    <t>Federal Income Tax 21%</t>
  </si>
  <si>
    <t>Net Income or (Loss)</t>
  </si>
  <si>
    <t>UTC</t>
  </si>
  <si>
    <t>Filing 2018</t>
  </si>
  <si>
    <t>Federal Income</t>
  </si>
  <si>
    <t>Tax Computation</t>
  </si>
  <si>
    <t>On the 2018 UTC Filing OWSI reported $65,177 in Federal Income Tax.</t>
  </si>
  <si>
    <t>21% times $310,366 = $65,177</t>
  </si>
  <si>
    <t>Filing 2022</t>
  </si>
  <si>
    <t>Merchandising</t>
  </si>
  <si>
    <t>On the 2022 UTC Filing OWSI reported $39,985 in Federal Income Tax.</t>
  </si>
  <si>
    <t>At a 21% tax rate OWSI would have had to have $190,404.80 Earnings before tax.</t>
  </si>
  <si>
    <t>21% times $190,404 = $39,985</t>
  </si>
  <si>
    <t>GL</t>
  </si>
  <si>
    <t>June</t>
  </si>
  <si>
    <t>To</t>
  </si>
  <si>
    <t>.00*</t>
  </si>
  <si>
    <t>Total Ac</t>
  </si>
  <si>
    <t>0500-6461</t>
  </si>
  <si>
    <t>jj</t>
  </si>
  <si>
    <t>January</t>
  </si>
  <si>
    <t>PLA mgmt fee for revenu</t>
  </si>
  <si>
    <t>e</t>
  </si>
  <si>
    <t>Total  1-31-22</t>
  </si>
  <si>
    <t>1,740.63*</t>
  </si>
  <si>
    <t>February</t>
  </si>
  <si>
    <t>PLA management fee entr</t>
  </si>
  <si>
    <t>y</t>
  </si>
  <si>
    <t>Total  2-28-22</t>
  </si>
  <si>
    <t>2,345.46*</t>
  </si>
  <si>
    <t>4,086.09*</t>
  </si>
  <si>
    <t>March</t>
  </si>
  <si>
    <t>Monthly Management fee</t>
  </si>
  <si>
    <t>entry</t>
  </si>
  <si>
    <t>Total  3-31-22</t>
  </si>
  <si>
    <t>1,718.31*</t>
  </si>
  <si>
    <t>5,804.40*</t>
  </si>
  <si>
    <t>April</t>
  </si>
  <si>
    <t>Mangmnet fee for revenu</t>
  </si>
  <si>
    <t>Total  4-30-22</t>
  </si>
  <si>
    <t>2,279.85*</t>
  </si>
  <si>
    <t>8,084.25*</t>
  </si>
  <si>
    <t>May</t>
  </si>
  <si>
    <t>Managemnt fee entry</t>
  </si>
  <si>
    <t>Total  5-31-22</t>
  </si>
  <si>
    <t>2,362.92*</t>
  </si>
  <si>
    <t>10,447.17*</t>
  </si>
  <si>
    <t>Monthly managament fee</t>
  </si>
  <si>
    <t>Total  6-30-22</t>
  </si>
  <si>
    <t>1,661.82*</t>
  </si>
  <si>
    <t>12,108.99*</t>
  </si>
  <si>
    <t>July</t>
  </si>
  <si>
    <t>Monthly mngment fee ent</t>
  </si>
  <si>
    <t>ry</t>
  </si>
  <si>
    <t>Total  7-31-22</t>
  </si>
  <si>
    <t>2,966.88*</t>
  </si>
  <si>
    <t>15,075.87*</t>
  </si>
  <si>
    <t>August</t>
  </si>
  <si>
    <t>Mgmnt fee for revenue</t>
  </si>
  <si>
    <t>Total  8-31-22</t>
  </si>
  <si>
    <t>2,881.56*</t>
  </si>
  <si>
    <t>17,957.43*</t>
  </si>
  <si>
    <t>September</t>
  </si>
  <si>
    <t>Total  9-30-22</t>
  </si>
  <si>
    <t>2,238.06*</t>
  </si>
  <si>
    <t>20,195.49*</t>
  </si>
  <si>
    <t>10-31-202</t>
  </si>
  <si>
    <t>2 GL</t>
  </si>
  <si>
    <t>October</t>
  </si>
  <si>
    <t>Mgnt fee for water rev</t>
  </si>
  <si>
    <t>Total 10-31-22</t>
  </si>
  <si>
    <t>3,520.74*</t>
  </si>
  <si>
    <t>23,716.23*</t>
  </si>
  <si>
    <t>11-30-202</t>
  </si>
  <si>
    <t>November</t>
  </si>
  <si>
    <t>Monthly mngmnt fee entr</t>
  </si>
  <si>
    <t>Total 11-30-22</t>
  </si>
  <si>
    <t>1,599.15*</t>
  </si>
  <si>
    <t>25,315.38*</t>
  </si>
  <si>
    <t>12-31-202</t>
  </si>
  <si>
    <t>December</t>
  </si>
  <si>
    <t>Total 12-31-22</t>
  </si>
  <si>
    <t>1,932.51*</t>
  </si>
  <si>
    <t>27,247.89*</t>
  </si>
  <si>
    <t>Total Accou</t>
  </si>
  <si>
    <t>nt 4-0500-6</t>
  </si>
  <si>
    <t>461.00 - MANAGEMENT FEES</t>
  </si>
  <si>
    <t>MANANGEMENT FEES</t>
  </si>
  <si>
    <t>502-6205</t>
  </si>
  <si>
    <t>Year-To-Date Ledger</t>
  </si>
  <si>
    <t>System Date: 3-02-2023</t>
  </si>
  <si>
    <t>System Time: 11:32 am</t>
  </si>
  <si>
    <t>3-02-2023  Page 1</t>
  </si>
  <si>
    <t>Beginning</t>
  </si>
  <si>
    <t>Ending</t>
  </si>
  <si>
    <t>Date</t>
  </si>
  <si>
    <t>Jrn</t>
  </si>
  <si>
    <t>Ref 1</t>
  </si>
  <si>
    <t>Ref 2</t>
  </si>
  <si>
    <t>Batch</t>
  </si>
  <si>
    <t>Transaction Desc</t>
  </si>
  <si>
    <t>Balance</t>
  </si>
  <si>
    <t>Debit</t>
  </si>
  <si>
    <t>Credit</t>
  </si>
  <si>
    <t>Account</t>
  </si>
  <si>
    <t>4-0500-4</t>
  </si>
  <si>
    <t>418,506.00*</t>
  </si>
  <si>
    <t>1,220,936.41-*</t>
  </si>
  <si>
    <t>500.00*</t>
  </si>
  <si>
    <t>count 4-0</t>
  </si>
  <si>
    <t>500-4535.00</t>
  </si>
  <si>
    <t>- REVENUE -</t>
  </si>
  <si>
    <t>WATER HOOKUP FEES - PLA</t>
  </si>
  <si>
    <t>5,500.00-*</t>
  </si>
  <si>
    <t>7,000.00-*</t>
  </si>
  <si>
    <t>tal Acco</t>
  </si>
  <si>
    <t>unt 4-050</t>
  </si>
  <si>
    <t>0-4540.00 -</t>
  </si>
  <si>
    <t>30.00*</t>
  </si>
  <si>
    <t>tal Accou</t>
  </si>
  <si>
    <t>nt 4-0500-45</t>
  </si>
  <si>
    <t>8,090.00-*</t>
  </si>
  <si>
    <t>83,687.86-*</t>
  </si>
  <si>
    <t>Total Acc</t>
  </si>
  <si>
    <t>ount 4-0500-</t>
  </si>
  <si>
    <t>2,086.35-*</t>
  </si>
  <si>
    <t>Total A</t>
  </si>
  <si>
    <t>ccount 4-050</t>
  </si>
  <si>
    <t>0-4999.00 -</t>
  </si>
  <si>
    <t>REVENUE - MISCELLANEOUS</t>
  </si>
  <si>
    <t>Total Revenue</t>
  </si>
  <si>
    <t>802,430.41-</t>
  </si>
  <si>
    <t>5,000.00-</t>
  </si>
  <si>
    <t>7,000.00-</t>
  </si>
  <si>
    <t>8,060.00-</t>
  </si>
  <si>
    <t>83,687.86-</t>
  </si>
  <si>
    <t>2,086.35-</t>
  </si>
  <si>
    <t>530.00 - REVENUE - METERED SALES TO RESIDENTIAL</t>
  </si>
  <si>
    <t xml:space="preserve">REVENUE </t>
  </si>
  <si>
    <t>WATER HOOKUP FEES - OTHER</t>
  </si>
  <si>
    <t>50.00 - REVENUE</t>
  </si>
  <si>
    <t>ANCILLARY CHARGES</t>
  </si>
  <si>
    <t>4730.00 - REVENUE</t>
  </si>
  <si>
    <t xml:space="preserve"> WATER SURCHARGE</t>
  </si>
  <si>
    <t>MANAGEMENT FEE 3% TO TOTAL REVENUE</t>
  </si>
  <si>
    <t xml:space="preserve">AFFILIATED INTEREST UNDISCLOSED MANAGEMENT FEE </t>
  </si>
  <si>
    <t>Confllicting Income Statements</t>
  </si>
  <si>
    <t>Utility</t>
  </si>
  <si>
    <t>Revenue</t>
  </si>
  <si>
    <t>Expense</t>
  </si>
  <si>
    <t>Income or</t>
  </si>
  <si>
    <t>(Loss)</t>
  </si>
  <si>
    <t xml:space="preserve"> </t>
  </si>
  <si>
    <t>Total Taxable</t>
  </si>
  <si>
    <t>Tax Rate</t>
  </si>
  <si>
    <t>Provided By Diana Smeland</t>
  </si>
  <si>
    <t xml:space="preserve">  Operating Income Before Tax</t>
  </si>
  <si>
    <t xml:space="preserve">   Interest Expense </t>
  </si>
  <si>
    <t>At a 21% tax rate OWSI would have had to have $310,366.70 Earnings before tax.</t>
  </si>
  <si>
    <t>Olympic Water and Sewer Worked</t>
  </si>
  <si>
    <t>Usually No Tax Is Owed For A Loss</t>
  </si>
  <si>
    <t>WIP Cont</t>
  </si>
  <si>
    <t>ra Payrol</t>
  </si>
  <si>
    <t>l</t>
  </si>
  <si>
    <t>JCC</t>
  </si>
  <si>
    <t>HMM</t>
  </si>
  <si>
    <t>REv JC#6880/Mov To Oct</t>
  </si>
  <si>
    <t>2 JCC</t>
  </si>
  <si>
    <t>1.  How can you add hours to dollars?</t>
  </si>
  <si>
    <t>2.  Line 2 Payroll taxes John's $4.53 and Alex's is $6.34, different Pay Rates?</t>
  </si>
  <si>
    <t>3. If they are paid at different rates, why are their benefits the same -$5.06?</t>
  </si>
  <si>
    <t>PYRL Taxes</t>
  </si>
  <si>
    <t>L&amp;I INS</t>
  </si>
  <si>
    <t>Benefits</t>
  </si>
  <si>
    <t>Gross Pay</t>
  </si>
  <si>
    <t>Alex</t>
  </si>
  <si>
    <t>Jason</t>
  </si>
  <si>
    <t>2.  Looks like Alex does not pay any payroll taxes.</t>
  </si>
  <si>
    <t>3.  Looks like Jason has about half the benefits as Alex.</t>
  </si>
  <si>
    <t>OWSI Water - General Ledger Under Expenses</t>
  </si>
  <si>
    <t>UNDISCLOSED AFFILIATED INTEREST MANAGEMENT FEE</t>
  </si>
  <si>
    <t>381 Rainer Lane</t>
  </si>
  <si>
    <t>77 Martingale</t>
  </si>
  <si>
    <t xml:space="preserve">381 Rainer Lane Meter Installation </t>
  </si>
  <si>
    <t>General Ledger</t>
  </si>
  <si>
    <r>
      <t>OWSI WATER - General Ledger Total Revenue</t>
    </r>
    <r>
      <rPr>
        <sz val="14"/>
        <color theme="1"/>
        <rFont val="Arial Black"/>
        <family val="2"/>
      </rPr>
      <t xml:space="preserve"> Including Surcharge</t>
    </r>
  </si>
  <si>
    <t>Total Account</t>
  </si>
  <si>
    <t xml:space="preserve"> 4-0500-6461.00 MANAGEMENT FEES .00</t>
  </si>
  <si>
    <t>Meter Replace 77 Martingale</t>
  </si>
  <si>
    <t>Meter Replacement 20 Camano Ln</t>
  </si>
  <si>
    <t>Filing 2017</t>
  </si>
  <si>
    <t>Utility Operating Expense*</t>
  </si>
  <si>
    <t>Utility Operating Income or (Loss)*</t>
  </si>
  <si>
    <t>On the 2019 UTC Filing OWSI reported $43,370 in Federal Income Tax.</t>
  </si>
  <si>
    <t>At a 21% tax rate OWSI would have had to have $206523.80 Earnings before tax.</t>
  </si>
  <si>
    <t>21% times $206,523.80 = $43,370</t>
  </si>
  <si>
    <t>Filing 2019</t>
  </si>
  <si>
    <t>Filing 2020</t>
  </si>
  <si>
    <t>At a 21% tax rate OWSI would have had to have $140,000 Earnings before tax.</t>
  </si>
  <si>
    <t>21% times $140,000 = $29400</t>
  </si>
  <si>
    <t>Revenue Needed Before</t>
  </si>
  <si>
    <t>Taxes to achieve Tax Filed</t>
  </si>
  <si>
    <t>Tax Filed</t>
  </si>
  <si>
    <t>On the 2017 UTC Filing OWSI reported $52,214in Federal Income Tax.</t>
  </si>
  <si>
    <t>Actual</t>
  </si>
  <si>
    <t>15% First $50,000</t>
  </si>
  <si>
    <t>25% $50,000-$75,000</t>
  </si>
  <si>
    <t>34% $$75,00-100,000</t>
  </si>
  <si>
    <t>39% $100,000-$335,000</t>
  </si>
  <si>
    <t>Income Statement  Federal Income Tax</t>
  </si>
  <si>
    <t>At a 2017 tax rates OWSI would have had to have $176,830 Earnings before tax.</t>
  </si>
  <si>
    <t>Computed Tax Based on UTC Filing</t>
  </si>
  <si>
    <t>Difference</t>
  </si>
  <si>
    <t>OWSI Annual Filing Fed Income Tax</t>
  </si>
  <si>
    <t>Olympic Water and Sewer Annual UTC Filings</t>
  </si>
  <si>
    <t>At a 21% tax rate OWSI would have had to have $206,523.80 Earnings before tax.</t>
  </si>
  <si>
    <t xml:space="preserve"> UTC 2022</t>
  </si>
  <si>
    <t xml:space="preserve">Annual </t>
  </si>
  <si>
    <t>Submission</t>
  </si>
  <si>
    <t xml:space="preserve">OWSI </t>
  </si>
  <si>
    <t>Income Stmt</t>
  </si>
  <si>
    <t>Ms. Smeland</t>
  </si>
  <si>
    <t>On the 2021 UTC Filing OWSI reported $29,400 in Federal Income Tax.</t>
  </si>
  <si>
    <t>Filing 2021</t>
  </si>
  <si>
    <t>Olympic Water 6 Year Comparison Based on UTC Annual Submissions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</si>
</sst>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00%"/>
  </numFmts>
  <fonts count="2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 Black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rgb="FF9C0006"/>
      <name val="Arial"/>
      <family val="2"/>
    </font>
    <font>
      <sz val="12"/>
      <color theme="1"/>
      <name val="Arial Black"/>
      <family val="2"/>
    </font>
    <font>
      <sz val="12"/>
      <name val="Arial Black"/>
      <family val="2"/>
    </font>
    <font>
      <u val="singleAccounting"/>
      <sz val="12"/>
      <color theme="1"/>
      <name val="Arial Black"/>
      <family val="2"/>
    </font>
    <font>
      <b/>
      <sz val="12"/>
      <color theme="1"/>
      <name val="Arial Black"/>
      <family val="2"/>
    </font>
    <font>
      <sz val="14"/>
      <color theme="1"/>
      <name val="Arial Black"/>
      <family val="2"/>
    </font>
    <font>
      <b/>
      <sz val="12"/>
      <color rgb="FF9C0006"/>
      <name val="Arial Black"/>
      <family val="2"/>
    </font>
    <font>
      <b/>
      <u val="doubleAccounting"/>
      <sz val="12"/>
      <color theme="1"/>
      <name val="Arial Black"/>
      <family val="2"/>
    </font>
    <font>
      <b/>
      <sz val="14"/>
      <color theme="1"/>
      <name val="Arial Black"/>
      <family val="2"/>
    </font>
  </fonts>
  <fills count="12">
    <fill>
      <patternFill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5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A7FF"/>
        <bgColor indexed="64"/>
      </patternFill>
    </fill>
    <fill>
      <patternFill patternType="solid">
        <fgColor theme="9" tint="0.59999"/>
        <bgColor indexed="64"/>
      </patternFill>
    </fill>
    <fill>
      <patternFill patternType="solid">
        <fgColor rgb="FF66FFFF"/>
        <bgColor indexed="64"/>
      </patternFill>
    </fill>
  </fills>
  <borders count="43">
    <border>
      <left/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</border>
    <border>
      <left style="thick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ck">
        <color auto="1"/>
      </right>
      <top/>
      <bottom style="thin">
        <color auto="1"/>
      </bottom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</border>
    <border>
      <left style="thick">
        <color auto="1"/>
      </left>
      <right style="thick">
        <color auto="1"/>
      </right>
      <top style="thick">
        <color auto="1"/>
      </top>
      <bottom/>
    </border>
    <border>
      <left style="thick">
        <color auto="1"/>
      </left>
      <right style="thick">
        <color auto="1"/>
      </right>
      <top/>
      <bottom/>
    </border>
    <border>
      <left style="thick">
        <color auto="1"/>
      </left>
      <right style="thick">
        <color auto="1"/>
      </right>
      <top/>
      <bottom style="thick">
        <color auto="1"/>
      </bottom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</border>
    <border>
      <left style="thick">
        <color auto="1"/>
      </left>
      <right style="thick">
        <color auto="1"/>
      </right>
      <top/>
      <bottom style="thin">
        <color auto="1"/>
      </bottom>
    </border>
    <border>
      <left/>
      <right/>
      <top/>
      <bottom style="medium">
        <color auto="1"/>
      </bottom>
    </border>
    <border>
      <left/>
      <right/>
      <top style="thick">
        <color auto="1"/>
      </top>
      <bottom/>
    </border>
    <border>
      <left style="thick">
        <color auto="1"/>
      </left>
      <right/>
      <top style="thick">
        <color auto="1"/>
      </top>
      <bottom/>
    </border>
    <border>
      <left/>
      <right style="thick">
        <color auto="1"/>
      </right>
      <top style="thick">
        <color auto="1"/>
      </top>
      <bottom/>
    </border>
    <border>
      <left style="thick">
        <color auto="1"/>
      </left>
      <right/>
      <top/>
      <bottom style="medium">
        <color auto="1"/>
      </bottom>
    </border>
    <border>
      <left/>
      <right style="thick">
        <color auto="1"/>
      </right>
      <top/>
      <bottom style="medium">
        <color auto="1"/>
      </bottom>
    </border>
    <border>
      <left/>
      <right/>
      <top/>
      <bottom style="thick">
        <color auto="1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auto="1"/>
      </bottom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</border>
    <border>
      <left style="thick">
        <color auto="1"/>
      </left>
      <right style="thick">
        <color auto="1"/>
      </right>
      <top style="thin">
        <color auto="1"/>
      </top>
      <bottom/>
    </border>
  </borders>
  <cellStyleXfs count="2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206">
    <xf numFmtId="0" fontId="0" fillId="0" borderId="0" xfId="0"/>
    <xf numFmtId="164" fontId="0" fillId="0" borderId="0" xfId="16" applyNumberFormat="1" applyFont="1"/>
    <xf numFmtId="164" fontId="0" fillId="0" borderId="0" xfId="0" applyNumberFormat="1"/>
    <xf numFmtId="164" fontId="3" fillId="0" borderId="0" xfId="16" applyNumberFormat="1" applyFont="1"/>
    <xf numFmtId="0" fontId="4" fillId="0" borderId="0" xfId="0" applyFont="1"/>
    <xf numFmtId="164" fontId="4" fillId="0" borderId="0" xfId="16" applyNumberFormat="1" applyFont="1"/>
    <xf numFmtId="0" fontId="6" fillId="0" borderId="0" xfId="0" applyFont="1"/>
    <xf numFmtId="164" fontId="6" fillId="0" borderId="0" xfId="16" applyNumberFormat="1" applyFont="1"/>
    <xf numFmtId="164" fontId="7" fillId="0" borderId="0" xfId="16" applyNumberFormat="1" applyFont="1" applyAlignment="1">
      <alignment horizontal="center"/>
    </xf>
    <xf numFmtId="0" fontId="7" fillId="0" borderId="0" xfId="0" applyFont="1" applyAlignment="1">
      <alignment horizontal="right"/>
    </xf>
    <xf numFmtId="164" fontId="7" fillId="0" borderId="1" xfId="16" applyNumberFormat="1" applyFont="1" applyBorder="1" applyAlignment="1">
      <alignment horizontal="center"/>
    </xf>
    <xf numFmtId="164" fontId="7" fillId="0" borderId="2" xfId="16" applyNumberFormat="1" applyFont="1" applyBorder="1" applyAlignment="1">
      <alignment horizontal="center"/>
    </xf>
    <xf numFmtId="164" fontId="7" fillId="0" borderId="3" xfId="16" applyNumberFormat="1" applyFont="1" applyBorder="1" applyAlignment="1">
      <alignment horizontal="center"/>
    </xf>
    <xf numFmtId="37" fontId="7" fillId="0" borderId="4" xfId="16" applyNumberFormat="1" applyFont="1" applyBorder="1" applyAlignment="1">
      <alignment horizontal="center"/>
    </xf>
    <xf numFmtId="37" fontId="7" fillId="0" borderId="5" xfId="16" applyNumberFormat="1" applyFont="1" applyBorder="1" applyAlignment="1">
      <alignment horizontal="center"/>
    </xf>
    <xf numFmtId="37" fontId="7" fillId="0" borderId="6" xfId="16" applyNumberFormat="1" applyFont="1" applyBorder="1" applyAlignment="1">
      <alignment horizontal="center"/>
    </xf>
    <xf numFmtId="164" fontId="6" fillId="0" borderId="4" xfId="16" applyNumberFormat="1" applyFont="1" applyBorder="1"/>
    <xf numFmtId="164" fontId="6" fillId="0" borderId="5" xfId="16" applyNumberFormat="1" applyFont="1" applyBorder="1"/>
    <xf numFmtId="164" fontId="6" fillId="0" borderId="6" xfId="16" applyNumberFormat="1" applyFont="1" applyBorder="1"/>
    <xf numFmtId="164" fontId="7" fillId="0" borderId="4" xfId="16" applyNumberFormat="1" applyFont="1" applyBorder="1"/>
    <xf numFmtId="164" fontId="7" fillId="0" borderId="5" xfId="16" applyNumberFormat="1" applyFont="1" applyBorder="1"/>
    <xf numFmtId="164" fontId="7" fillId="0" borderId="6" xfId="16" applyNumberFormat="1" applyFont="1" applyBorder="1"/>
    <xf numFmtId="164" fontId="0" fillId="0" borderId="4" xfId="16" applyNumberFormat="1" applyFont="1" applyBorder="1"/>
    <xf numFmtId="164" fontId="6" fillId="0" borderId="7" xfId="16" applyNumberFormat="1" applyFont="1" applyBorder="1"/>
    <xf numFmtId="164" fontId="6" fillId="0" borderId="8" xfId="16" applyNumberFormat="1" applyFont="1" applyBorder="1"/>
    <xf numFmtId="164" fontId="6" fillId="0" borderId="9" xfId="16" applyNumberFormat="1" applyFont="1" applyBorder="1"/>
    <xf numFmtId="164" fontId="6" fillId="3" borderId="4" xfId="16" applyNumberFormat="1" applyFont="1" applyFill="1" applyBorder="1"/>
    <xf numFmtId="164" fontId="6" fillId="3" borderId="5" xfId="16" applyNumberFormat="1" applyFont="1" applyFill="1" applyBorder="1"/>
    <xf numFmtId="164" fontId="6" fillId="3" borderId="6" xfId="16" applyNumberFormat="1" applyFont="1" applyFill="1" applyBorder="1"/>
    <xf numFmtId="164" fontId="0" fillId="0" borderId="0" xfId="16" applyNumberFormat="1" applyFont="1" applyFill="1"/>
    <xf numFmtId="0" fontId="3" fillId="0" borderId="0" xfId="0" applyFont="1"/>
    <xf numFmtId="9" fontId="0" fillId="0" borderId="0" xfId="15" applyFont="1"/>
    <xf numFmtId="0" fontId="0" fillId="4" borderId="0" xfId="0" applyFill="1"/>
    <xf numFmtId="0" fontId="0" fillId="5" borderId="0" xfId="0" applyFill="1"/>
    <xf numFmtId="0" fontId="0" fillId="0" borderId="0" xfId="0" applyAlignment="1">
      <alignment horizontal="center"/>
    </xf>
    <xf numFmtId="2" fontId="0" fillId="0" borderId="0" xfId="0" applyNumberFormat="1"/>
    <xf numFmtId="0" fontId="5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0" fontId="11" fillId="0" borderId="10" xfId="0" applyFont="1" applyBorder="1"/>
    <xf numFmtId="0" fontId="11" fillId="0" borderId="11" xfId="0" applyFont="1" applyBorder="1"/>
    <xf numFmtId="0" fontId="10" fillId="0" borderId="11" xfId="0" applyFont="1" applyBorder="1"/>
    <xf numFmtId="0" fontId="0" fillId="0" borderId="11" xfId="0" applyBorder="1"/>
    <xf numFmtId="9" fontId="0" fillId="0" borderId="11" xfId="15" applyFont="1" applyBorder="1"/>
    <xf numFmtId="0" fontId="0" fillId="0" borderId="12" xfId="0" applyBorder="1"/>
    <xf numFmtId="0" fontId="11" fillId="0" borderId="13" xfId="0" applyFont="1" applyBorder="1"/>
    <xf numFmtId="0" fontId="11" fillId="0" borderId="14" xfId="0" applyFont="1" applyBorder="1"/>
    <xf numFmtId="0" fontId="10" fillId="0" borderId="14" xfId="0" applyFont="1" applyBorder="1"/>
    <xf numFmtId="0" fontId="0" fillId="0" borderId="14" xfId="0" applyBorder="1"/>
    <xf numFmtId="9" fontId="0" fillId="0" borderId="14" xfId="15" applyFont="1" applyBorder="1"/>
    <xf numFmtId="0" fontId="0" fillId="0" borderId="15" xfId="0" applyBorder="1"/>
    <xf numFmtId="0" fontId="9" fillId="0" borderId="13" xfId="0" applyFont="1" applyBorder="1"/>
    <xf numFmtId="0" fontId="9" fillId="0" borderId="14" xfId="0" applyFont="1" applyBorder="1"/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2" fontId="9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/>
    <xf numFmtId="0" fontId="9" fillId="0" borderId="17" xfId="0" applyFont="1" applyBorder="1"/>
    <xf numFmtId="2" fontId="9" fillId="0" borderId="18" xfId="0" applyNumberFormat="1" applyFont="1" applyBorder="1" applyAlignment="1">
      <alignment horizontal="center"/>
    </xf>
    <xf numFmtId="9" fontId="10" fillId="0" borderId="14" xfId="15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19" xfId="0" applyFont="1" applyBorder="1"/>
    <xf numFmtId="0" fontId="9" fillId="0" borderId="20" xfId="0" applyFont="1" applyBorder="1"/>
    <xf numFmtId="2" fontId="9" fillId="0" borderId="20" xfId="0" applyNumberFormat="1" applyFont="1" applyBorder="1" applyAlignment="1">
      <alignment horizontal="center"/>
    </xf>
    <xf numFmtId="2" fontId="9" fillId="0" borderId="21" xfId="0" applyNumberFormat="1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10" fillId="0" borderId="17" xfId="0" applyFont="1" applyBorder="1"/>
    <xf numFmtId="0" fontId="9" fillId="0" borderId="22" xfId="0" applyFont="1" applyBorder="1"/>
    <xf numFmtId="0" fontId="10" fillId="0" borderId="23" xfId="0" applyFont="1" applyBorder="1" applyAlignment="1">
      <alignment horizontal="center"/>
    </xf>
    <xf numFmtId="0" fontId="9" fillId="0" borderId="23" xfId="0" applyFont="1" applyBorder="1"/>
    <xf numFmtId="0" fontId="9" fillId="0" borderId="24" xfId="0" applyFont="1" applyBorder="1"/>
    <xf numFmtId="0" fontId="9" fillId="0" borderId="21" xfId="0" applyFont="1" applyBorder="1"/>
    <xf numFmtId="0" fontId="9" fillId="0" borderId="18" xfId="0" applyFont="1" applyBorder="1"/>
    <xf numFmtId="0" fontId="9" fillId="4" borderId="20" xfId="0" applyFont="1" applyFill="1" applyBorder="1"/>
    <xf numFmtId="0" fontId="9" fillId="4" borderId="14" xfId="0" applyFont="1" applyFill="1" applyBorder="1"/>
    <xf numFmtId="2" fontId="9" fillId="4" borderId="17" xfId="0" applyNumberFormat="1" applyFont="1" applyFill="1" applyBorder="1" applyAlignment="1">
      <alignment horizontal="center"/>
    </xf>
    <xf numFmtId="164" fontId="6" fillId="6" borderId="5" xfId="16" applyNumberFormat="1" applyFont="1" applyFill="1" applyBorder="1"/>
    <xf numFmtId="164" fontId="6" fillId="6" borderId="6" xfId="16" applyNumberFormat="1" applyFont="1" applyFill="1" applyBorder="1"/>
    <xf numFmtId="164" fontId="7" fillId="0" borderId="25" xfId="16" applyNumberFormat="1" applyFont="1" applyFill="1" applyBorder="1" applyAlignment="1">
      <alignment horizontal="center"/>
    </xf>
    <xf numFmtId="37" fontId="7" fillId="0" borderId="26" xfId="16" applyNumberFormat="1" applyFont="1" applyFill="1" applyBorder="1" applyAlignment="1">
      <alignment horizontal="center"/>
    </xf>
    <xf numFmtId="164" fontId="6" fillId="0" borderId="26" xfId="16" applyNumberFormat="1" applyFont="1" applyFill="1" applyBorder="1"/>
    <xf numFmtId="164" fontId="7" fillId="0" borderId="26" xfId="16" applyNumberFormat="1" applyFont="1" applyFill="1" applyBorder="1"/>
    <xf numFmtId="164" fontId="7" fillId="0" borderId="27" xfId="16" applyNumberFormat="1" applyFont="1" applyFill="1" applyBorder="1"/>
    <xf numFmtId="164" fontId="7" fillId="0" borderId="28" xfId="16" applyNumberFormat="1" applyFont="1" applyBorder="1" applyAlignment="1">
      <alignment horizontal="center"/>
    </xf>
    <xf numFmtId="37" fontId="7" fillId="0" borderId="29" xfId="16" applyNumberFormat="1" applyFont="1" applyBorder="1" applyAlignment="1">
      <alignment horizontal="center"/>
    </xf>
    <xf numFmtId="164" fontId="6" fillId="0" borderId="29" xfId="16" applyNumberFormat="1" applyFont="1" applyBorder="1"/>
    <xf numFmtId="164" fontId="7" fillId="0" borderId="29" xfId="16" applyNumberFormat="1" applyFont="1" applyBorder="1"/>
    <xf numFmtId="164" fontId="6" fillId="0" borderId="29" xfId="16" applyNumberFormat="1" applyFont="1" applyFill="1" applyBorder="1"/>
    <xf numFmtId="0" fontId="4" fillId="0" borderId="29" xfId="0" applyFont="1" applyBorder="1"/>
    <xf numFmtId="164" fontId="5" fillId="0" borderId="30" xfId="0" applyNumberFormat="1" applyFont="1" applyBorder="1"/>
    <xf numFmtId="164" fontId="7" fillId="0" borderId="29" xfId="16" applyNumberFormat="1" applyFont="1" applyFill="1" applyBorder="1"/>
    <xf numFmtId="164" fontId="6" fillId="4" borderId="29" xfId="16" applyNumberFormat="1" applyFont="1" applyFill="1" applyBorder="1"/>
    <xf numFmtId="0" fontId="5" fillId="0" borderId="0" xfId="0" applyFont="1" applyAlignment="1">
      <alignment horizontal="center"/>
    </xf>
    <xf numFmtId="164" fontId="7" fillId="0" borderId="29" xfId="16" applyNumberFormat="1" applyFont="1" applyBorder="1" applyAlignment="1">
      <alignment horizontal="center"/>
    </xf>
    <xf numFmtId="164" fontId="5" fillId="0" borderId="0" xfId="16" applyNumberFormat="1" applyFont="1" applyFill="1" applyAlignment="1">
      <alignment horizontal="center"/>
    </xf>
    <xf numFmtId="164" fontId="4" fillId="0" borderId="0" xfId="16" applyNumberFormat="1" applyFont="1" applyFill="1"/>
    <xf numFmtId="164" fontId="3" fillId="0" borderId="0" xfId="16" applyNumberFormat="1" applyFont="1" applyFill="1"/>
    <xf numFmtId="1" fontId="7" fillId="0" borderId="26" xfId="16" applyNumberFormat="1" applyFont="1" applyFill="1" applyBorder="1" applyAlignment="1">
      <alignment horizontal="center"/>
    </xf>
    <xf numFmtId="1" fontId="7" fillId="0" borderId="29" xfId="16" applyNumberFormat="1" applyFont="1" applyBorder="1" applyAlignment="1">
      <alignment horizontal="center"/>
    </xf>
    <xf numFmtId="1" fontId="7" fillId="0" borderId="31" xfId="16" applyNumberFormat="1" applyFont="1" applyFill="1" applyBorder="1" applyAlignment="1">
      <alignment horizontal="center"/>
    </xf>
    <xf numFmtId="164" fontId="7" fillId="0" borderId="29" xfId="16" applyNumberFormat="1" applyFont="1" applyFill="1" applyBorder="1" applyAlignment="1">
      <alignment horizontal="center"/>
    </xf>
    <xf numFmtId="164" fontId="7" fillId="0" borderId="30" xfId="16" applyNumberFormat="1" applyFont="1" applyFill="1" applyBorder="1"/>
    <xf numFmtId="164" fontId="7" fillId="0" borderId="30" xfId="16" applyNumberFormat="1" applyFont="1" applyBorder="1"/>
    <xf numFmtId="37" fontId="0" fillId="0" borderId="0" xfId="0" applyNumberFormat="1"/>
    <xf numFmtId="0" fontId="0" fillId="7" borderId="0" xfId="0" applyFill="1"/>
    <xf numFmtId="4" fontId="0" fillId="0" borderId="0" xfId="0" applyNumberFormat="1"/>
    <xf numFmtId="14" fontId="0" fillId="0" borderId="0" xfId="0" applyNumberFormat="1"/>
    <xf numFmtId="0" fontId="0" fillId="8" borderId="0" xfId="0" applyFill="1"/>
    <xf numFmtId="0" fontId="7" fillId="0" borderId="0" xfId="0" applyFont="1" applyAlignment="1">
      <alignment horizontal="left"/>
    </xf>
    <xf numFmtId="0" fontId="12" fillId="7" borderId="0" xfId="20" applyFont="1" applyFill="1"/>
    <xf numFmtId="164" fontId="13" fillId="0" borderId="0" xfId="16" applyNumberFormat="1" applyFont="1"/>
    <xf numFmtId="164" fontId="14" fillId="0" borderId="0" xfId="16" applyNumberFormat="1" applyFont="1"/>
    <xf numFmtId="164" fontId="8" fillId="0" borderId="0" xfId="16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0" applyNumberFormat="1" applyFont="1"/>
    <xf numFmtId="164" fontId="15" fillId="0" borderId="0" xfId="16" applyNumberFormat="1" applyFont="1"/>
    <xf numFmtId="164" fontId="13" fillId="0" borderId="32" xfId="16" applyNumberFormat="1" applyFont="1" applyBorder="1"/>
    <xf numFmtId="9" fontId="13" fillId="0" borderId="32" xfId="15" applyFont="1" applyBorder="1"/>
    <xf numFmtId="0" fontId="0" fillId="0" borderId="33" xfId="0" applyBorder="1"/>
    <xf numFmtId="0" fontId="0" fillId="0" borderId="32" xfId="0" applyBorder="1"/>
    <xf numFmtId="0" fontId="10" fillId="0" borderId="32" xfId="0" applyFont="1" applyBorder="1"/>
    <xf numFmtId="165" fontId="9" fillId="0" borderId="32" xfId="15" applyNumberFormat="1" applyFont="1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165" fontId="9" fillId="0" borderId="37" xfId="15" applyNumberFormat="1" applyFont="1" applyBorder="1"/>
    <xf numFmtId="44" fontId="7" fillId="0" borderId="0" xfId="16" applyFont="1"/>
    <xf numFmtId="0" fontId="16" fillId="0" borderId="0" xfId="0" applyFont="1"/>
    <xf numFmtId="9" fontId="7" fillId="0" borderId="38" xfId="0" applyNumberFormat="1" applyFont="1" applyBorder="1"/>
    <xf numFmtId="0" fontId="7" fillId="0" borderId="4" xfId="16" applyNumberFormat="1" applyFont="1" applyBorder="1" applyAlignment="1">
      <alignment horizontal="center"/>
    </xf>
    <xf numFmtId="0" fontId="7" fillId="0" borderId="5" xfId="16" applyNumberFormat="1" applyFont="1" applyBorder="1" applyAlignment="1">
      <alignment horizontal="center"/>
    </xf>
    <xf numFmtId="0" fontId="7" fillId="0" borderId="6" xfId="16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/>
    <xf numFmtId="0" fontId="0" fillId="9" borderId="0" xfId="0" applyFill="1"/>
    <xf numFmtId="0" fontId="17" fillId="0" borderId="0" xfId="0" applyFont="1"/>
    <xf numFmtId="2" fontId="0" fillId="3" borderId="0" xfId="0" applyNumberFormat="1" applyFill="1"/>
    <xf numFmtId="44" fontId="0" fillId="10" borderId="0" xfId="16" applyFont="1" applyFill="1"/>
    <xf numFmtId="44" fontId="0" fillId="10" borderId="38" xfId="16" applyFont="1" applyFill="1" applyBorder="1"/>
    <xf numFmtId="44" fontId="0" fillId="0" borderId="0" xfId="16" applyFont="1" applyFill="1"/>
    <xf numFmtId="44" fontId="0" fillId="6" borderId="0" xfId="16" applyFont="1" applyFill="1"/>
    <xf numFmtId="44" fontId="0" fillId="0" borderId="0" xfId="0" applyNumberFormat="1"/>
    <xf numFmtId="4" fontId="18" fillId="7" borderId="0" xfId="20" applyNumberFormat="1" applyFont="1" applyFill="1"/>
    <xf numFmtId="44" fontId="19" fillId="8" borderId="0" xfId="0" applyNumberFormat="1" applyFont="1" applyFill="1"/>
    <xf numFmtId="0" fontId="8" fillId="8" borderId="0" xfId="0" applyFont="1" applyFill="1"/>
    <xf numFmtId="0" fontId="13" fillId="8" borderId="0" xfId="0" applyFont="1" applyFill="1"/>
    <xf numFmtId="0" fontId="7" fillId="7" borderId="0" xfId="0" applyFont="1" applyFill="1"/>
    <xf numFmtId="0" fontId="3" fillId="7" borderId="0" xfId="0" applyFont="1" applyFill="1"/>
    <xf numFmtId="14" fontId="7" fillId="0" borderId="0" xfId="0" applyNumberFormat="1" applyFont="1"/>
    <xf numFmtId="0" fontId="16" fillId="8" borderId="0" xfId="0" applyFont="1" applyFill="1"/>
    <xf numFmtId="0" fontId="14" fillId="8" borderId="39" xfId="20" applyFont="1" applyFill="1" applyBorder="1"/>
    <xf numFmtId="44" fontId="16" fillId="0" borderId="40" xfId="16" applyFont="1" applyBorder="1"/>
    <xf numFmtId="17" fontId="3" fillId="0" borderId="0" xfId="0" applyNumberFormat="1" applyFont="1"/>
    <xf numFmtId="0" fontId="3" fillId="6" borderId="0" xfId="0" applyFont="1" applyFill="1"/>
    <xf numFmtId="0" fontId="20" fillId="0" borderId="0" xfId="0" applyFont="1"/>
    <xf numFmtId="44" fontId="0" fillId="10" borderId="41" xfId="16" applyFont="1" applyFill="1" applyBorder="1"/>
    <xf numFmtId="0" fontId="7" fillId="0" borderId="26" xfId="16" applyNumberFormat="1" applyFont="1" applyFill="1" applyBorder="1" applyAlignment="1">
      <alignment horizontal="center"/>
    </xf>
    <xf numFmtId="0" fontId="7" fillId="0" borderId="29" xfId="16" applyNumberFormat="1" applyFont="1" applyBorder="1" applyAlignment="1">
      <alignment horizontal="center"/>
    </xf>
    <xf numFmtId="164" fontId="7" fillId="0" borderId="30" xfId="0" applyNumberFormat="1" applyFont="1" applyBorder="1"/>
    <xf numFmtId="164" fontId="6" fillId="0" borderId="29" xfId="0" applyNumberFormat="1" applyFont="1" applyBorder="1"/>
    <xf numFmtId="164" fontId="4" fillId="0" borderId="29" xfId="0" applyNumberFormat="1" applyFont="1" applyBorder="1"/>
    <xf numFmtId="164" fontId="6" fillId="0" borderId="0" xfId="0" applyNumberFormat="1" applyFont="1"/>
    <xf numFmtId="164" fontId="6" fillId="11" borderId="4" xfId="16" applyNumberFormat="1" applyFont="1" applyFill="1" applyBorder="1"/>
    <xf numFmtId="164" fontId="6" fillId="11" borderId="5" xfId="16" applyNumberFormat="1" applyFont="1" applyFill="1" applyBorder="1"/>
    <xf numFmtId="164" fontId="6" fillId="11" borderId="6" xfId="16" applyNumberFormat="1" applyFont="1" applyFill="1" applyBorder="1"/>
    <xf numFmtId="164" fontId="7" fillId="0" borderId="10" xfId="16" applyNumberFormat="1" applyFont="1" applyBorder="1" applyAlignment="1">
      <alignment horizontal="center"/>
    </xf>
    <xf numFmtId="164" fontId="7" fillId="0" borderId="11" xfId="16" applyNumberFormat="1" applyFont="1" applyBorder="1" applyAlignment="1">
      <alignment horizontal="center"/>
    </xf>
    <xf numFmtId="164" fontId="7" fillId="0" borderId="12" xfId="16" applyNumberFormat="1" applyFont="1" applyBorder="1" applyAlignment="1">
      <alignment horizontal="center"/>
    </xf>
    <xf numFmtId="0" fontId="7" fillId="0" borderId="13" xfId="16" applyNumberFormat="1" applyFont="1" applyBorder="1" applyAlignment="1">
      <alignment horizontal="center"/>
    </xf>
    <xf numFmtId="0" fontId="7" fillId="0" borderId="14" xfId="16" applyNumberFormat="1" applyFont="1" applyBorder="1" applyAlignment="1">
      <alignment horizontal="center"/>
    </xf>
    <xf numFmtId="0" fontId="7" fillId="0" borderId="15" xfId="16" applyNumberFormat="1" applyFont="1" applyBorder="1" applyAlignment="1">
      <alignment horizontal="center"/>
    </xf>
    <xf numFmtId="37" fontId="7" fillId="0" borderId="13" xfId="16" applyNumberFormat="1" applyFont="1" applyBorder="1" applyAlignment="1">
      <alignment horizontal="center"/>
    </xf>
    <xf numFmtId="37" fontId="7" fillId="0" borderId="14" xfId="16" applyNumberFormat="1" applyFont="1" applyBorder="1" applyAlignment="1">
      <alignment horizontal="center"/>
    </xf>
    <xf numFmtId="37" fontId="7" fillId="0" borderId="15" xfId="16" applyNumberFormat="1" applyFont="1" applyBorder="1" applyAlignment="1">
      <alignment horizontal="center"/>
    </xf>
    <xf numFmtId="164" fontId="6" fillId="0" borderId="13" xfId="16" applyNumberFormat="1" applyFont="1" applyBorder="1"/>
    <xf numFmtId="164" fontId="6" fillId="0" borderId="14" xfId="16" applyNumberFormat="1" applyFont="1" applyBorder="1"/>
    <xf numFmtId="164" fontId="6" fillId="0" borderId="15" xfId="16" applyNumberFormat="1" applyFont="1" applyBorder="1"/>
    <xf numFmtId="164" fontId="6" fillId="0" borderId="16" xfId="0" applyNumberFormat="1" applyFont="1" applyBorder="1"/>
    <xf numFmtId="164" fontId="6" fillId="0" borderId="17" xfId="0" applyNumberFormat="1" applyFont="1" applyBorder="1"/>
    <xf numFmtId="164" fontId="6" fillId="0" borderId="18" xfId="0" applyNumberFormat="1" applyFon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164" fontId="6" fillId="0" borderId="16" xfId="16" applyNumberFormat="1" applyFont="1" applyBorder="1"/>
    <xf numFmtId="164" fontId="6" fillId="0" borderId="17" xfId="16" applyNumberFormat="1" applyFont="1" applyBorder="1"/>
    <xf numFmtId="164" fontId="6" fillId="0" borderId="18" xfId="16" applyNumberFormat="1" applyFont="1" applyBorder="1"/>
    <xf numFmtId="37" fontId="7" fillId="0" borderId="31" xfId="16" applyNumberFormat="1" applyFont="1" applyFill="1" applyBorder="1" applyAlignment="1">
      <alignment horizontal="center"/>
    </xf>
    <xf numFmtId="37" fontId="7" fillId="0" borderId="29" xfId="16" applyNumberFormat="1" applyFont="1" applyFill="1" applyBorder="1" applyAlignment="1">
      <alignment horizontal="center"/>
    </xf>
    <xf numFmtId="164" fontId="7" fillId="0" borderId="26" xfId="16" applyNumberFormat="1" applyFont="1" applyFill="1" applyBorder="1" applyAlignment="1">
      <alignment horizontal="center"/>
    </xf>
    <xf numFmtId="164" fontId="13" fillId="0" borderId="0" xfId="16" applyNumberFormat="1" applyFont="1" applyAlignment="1">
      <alignment horizontal="center"/>
    </xf>
    <xf numFmtId="164" fontId="7" fillId="0" borderId="28" xfId="16" applyNumberFormat="1" applyFont="1" applyFill="1" applyBorder="1" applyAlignment="1">
      <alignment horizontal="center"/>
    </xf>
    <xf numFmtId="0" fontId="7" fillId="0" borderId="29" xfId="16" applyNumberFormat="1" applyFont="1" applyFill="1" applyBorder="1" applyAlignment="1">
      <alignment horizontal="center"/>
    </xf>
    <xf numFmtId="164" fontId="6" fillId="0" borderId="42" xfId="16" applyNumberFormat="1" applyFont="1" applyFill="1" applyBorder="1"/>
    <xf numFmtId="0" fontId="7" fillId="0" borderId="31" xfId="16" applyNumberFormat="1" applyFont="1" applyFill="1" applyBorder="1" applyAlignment="1">
      <alignment horizontal="center"/>
    </xf>
    <xf numFmtId="0" fontId="10" fillId="0" borderId="0" xfId="0" applyFont="1"/>
  </cellXfs>
  <cellStyles count="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Bad" xfId="2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worksheet" Target="worksheets/sheet17.xml"/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3" Type="http://schemas.openxmlformats.org/officeDocument/2006/relationships/worksheet" Target="worksheets/sheet2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6.xml"/><Relationship Id="rId17" Type="http://schemas.openxmlformats.org/officeDocument/2006/relationships/worksheet" Target="worksheets/sheet16.xml"/><Relationship Id="rId12" Type="http://schemas.openxmlformats.org/officeDocument/2006/relationships/worksheet" Target="worksheets/sheet1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5.xml"/><Relationship Id="rId20" Type="http://schemas.openxmlformats.org/officeDocument/2006/relationships/styles" Target="styles.xml"/><Relationship Id="rId11" Type="http://schemas.openxmlformats.org/officeDocument/2006/relationships/worksheet" Target="worksheets/sheet10.xml"/><Relationship Id="rId1" Type="http://schemas.openxmlformats.org/officeDocument/2006/relationships/theme" Target="theme/theme1.xml"/><Relationship Id="rId6" Type="http://schemas.openxmlformats.org/officeDocument/2006/relationships/worksheet" Target="worksheets/sheet5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4" Type="http://schemas.openxmlformats.org/officeDocument/2006/relationships/worksheet" Target="worksheets/sheet3.xml"/><Relationship Id="rId22" Type="http://schemas.openxmlformats.org/officeDocument/2006/relationships/customXml" Target="../customXml/item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1.png" /><Relationship Id="rId2" Type="http://schemas.openxmlformats.org/officeDocument/2006/relationships/image" Target="../media/image12.png" /><Relationship Id="rId3" Type="http://schemas.openxmlformats.org/officeDocument/2006/relationships/image" Target="../media/image13.pn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3.pn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6.png" 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7.pn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8.png" 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9.png" /><Relationship Id="rId2" Type="http://schemas.openxmlformats.org/officeDocument/2006/relationships/image" Target="../media/image10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11</xdr:col>
      <xdr:colOff>477252</xdr:colOff>
      <xdr:row>42</xdr:row>
      <xdr:rowOff>1117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181850" cy="8001000"/>
        </a:xfrm>
        <a:prstGeom prst="rect"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205153</xdr:colOff>
      <xdr:row>16</xdr:row>
      <xdr:rowOff>175846</xdr:rowOff>
    </xdr:from>
    <xdr:to>
      <xdr:col>14</xdr:col>
      <xdr:colOff>337039</xdr:colOff>
      <xdr:row>28</xdr:row>
      <xdr:rowOff>21982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rcRect r="12471" b="8488"/>
        <a:stretch>
          <a:fillRect/>
        </a:stretch>
      </xdr:blipFill>
      <xdr:spPr>
        <a:xfrm>
          <a:off x="209550" y="3124200"/>
          <a:ext cx="8801100" cy="2133600"/>
        </a:xfrm>
        <a:prstGeom prst="rect"/>
      </xdr:spPr>
    </xdr:pic>
    <xdr:clientData/>
  </xdr:twoCellAnchor>
  <xdr:twoCellAnchor editAs="oneCell">
    <xdr:from>
      <xdr:col>0</xdr:col>
      <xdr:colOff>296640</xdr:colOff>
      <xdr:row>48</xdr:row>
      <xdr:rowOff>167232</xdr:rowOff>
    </xdr:from>
    <xdr:to>
      <xdr:col>14</xdr:col>
      <xdr:colOff>301032</xdr:colOff>
      <xdr:row>55</xdr:row>
      <xdr:rowOff>86636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rcRect t="27835" r="4713" b="5894"/>
        <a:stretch>
          <a:fillRect/>
        </a:stretch>
      </xdr:blipFill>
      <xdr:spPr>
        <a:xfrm>
          <a:off x="295275" y="9848850"/>
          <a:ext cx="8667750" cy="1685925"/>
        </a:xfrm>
        <a:prstGeom prst="rect"/>
      </xdr:spPr>
    </xdr:pic>
    <xdr:clientData/>
  </xdr:twoCellAnchor>
  <xdr:twoCellAnchor editAs="oneCell">
    <xdr:from>
      <xdr:col>1</xdr:col>
      <xdr:colOff>148023</xdr:colOff>
      <xdr:row>69</xdr:row>
      <xdr:rowOff>43923</xdr:rowOff>
    </xdr:from>
    <xdr:to>
      <xdr:col>5</xdr:col>
      <xdr:colOff>1171316</xdr:colOff>
      <xdr:row>84</xdr:row>
      <xdr:rowOff>77086</xdr:rowOff>
    </xdr:to>
    <xdr:pic>
      <xdr:nvPicPr>
        <xdr:cNvPr id="4" name="Picture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4350" y="14382750"/>
          <a:ext cx="2676525" cy="288607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10</xdr:col>
      <xdr:colOff>314324</xdr:colOff>
      <xdr:row>45</xdr:row>
      <xdr:rowOff>7986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6410325" cy="8582025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11</xdr:col>
      <xdr:colOff>199378</xdr:colOff>
      <xdr:row>44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6905625" cy="841057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79375</xdr:rowOff>
    </xdr:from>
    <xdr:to>
      <xdr:col>10</xdr:col>
      <xdr:colOff>369765</xdr:colOff>
      <xdr:row>42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76200"/>
          <a:ext cx="6467475" cy="79819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66675</xdr:colOff>
      <xdr:row>0</xdr:row>
      <xdr:rowOff>0</xdr:rowOff>
    </xdr:from>
    <xdr:to>
      <xdr:col>10</xdr:col>
      <xdr:colOff>209876</xdr:colOff>
      <xdr:row>37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675" y="0"/>
          <a:ext cx="6238875" cy="7048500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45</xdr:row>
      <xdr:rowOff>48022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7734300" cy="8620125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47625</xdr:colOff>
      <xdr:row>35</xdr:row>
      <xdr:rowOff>100026</xdr:rowOff>
    </xdr:from>
    <xdr:to>
      <xdr:col>11</xdr:col>
      <xdr:colOff>276225</xdr:colOff>
      <xdr:row>40</xdr:row>
      <xdr:rowOff>9700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625" y="6791325"/>
          <a:ext cx="9248775" cy="866775"/>
        </a:xfrm>
        <a:prstGeom prst="rect"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18</xdr:col>
      <xdr:colOff>0</xdr:colOff>
      <xdr:row>14</xdr:row>
      <xdr:rowOff>0</xdr:rowOff>
    </xdr:from>
    <xdr:to>
      <xdr:col>34</xdr:col>
      <xdr:colOff>515783</xdr:colOff>
      <xdr:row>25</xdr:row>
      <xdr:rowOff>47983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58575" y="2876550"/>
          <a:ext cx="10267950" cy="2457450"/>
        </a:xfrm>
        <a:prstGeom prst="rect"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2</xdr:row>
      <xdr:rowOff>0</xdr:rowOff>
    </xdr:from>
    <xdr:to>
      <xdr:col>8</xdr:col>
      <xdr:colOff>476997</xdr:colOff>
      <xdr:row>31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361950"/>
          <a:ext cx="5353050" cy="6296025"/>
        </a:xfrm>
        <a:prstGeom prst="rect"/>
      </xdr:spPr>
    </xdr:pic>
    <xdr:clientData/>
  </xdr:twoCellAnchor>
  <xdr:twoCellAnchor editAs="oneCell">
    <xdr:from>
      <xdr:col>13</xdr:col>
      <xdr:colOff>71127</xdr:colOff>
      <xdr:row>3</xdr:row>
      <xdr:rowOff>222787</xdr:rowOff>
    </xdr:from>
    <xdr:to>
      <xdr:col>20</xdr:col>
      <xdr:colOff>11506</xdr:colOff>
      <xdr:row>23</xdr:row>
      <xdr:rowOff>113311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791575" y="762000"/>
          <a:ext cx="7591425" cy="4162425"/>
        </a:xfrm>
        <a:prstGeom prst="rect"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Relationship Id="rId2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B1:M29"/>
  <sheetViews>
    <sheetView tabSelected="1" zoomScale="91" zoomScaleNormal="91" workbookViewId="0" topLeftCell="A1">
      <selection pane="topLeft" activeCell="N10" sqref="N10"/>
    </sheetView>
  </sheetViews>
  <sheetFormatPr defaultRowHeight="15"/>
  <cols>
    <col min="3" max="3" width="20.5714285714286" customWidth="1"/>
    <col min="4" max="4" width="11" customWidth="1"/>
    <col min="5" max="8" width="15.5714285714286" style="1" bestFit="1" customWidth="1"/>
    <col min="9" max="9" width="13.2857142857143" customWidth="1"/>
    <col min="10" max="10" width="15.8571428571429" customWidth="1"/>
  </cols>
  <sheetData>
    <row r="1" ht="18">
      <c r="B1" s="205" t="s">
        <v>290</v>
      </c>
    </row>
    <row r="2" ht="15"/>
    <row r="3" spans="3:6" ht="15.5" hidden="1">
      <c r="C3" s="30"/>
      <c r="D3" s="30"/>
      <c r="E3" s="3"/>
      <c r="F3" s="37" t="s">
        <v>0</v>
      </c>
    </row>
    <row r="4" spans="2:10" ht="16" hidden="1" thickBot="1">
      <c r="B4" s="6"/>
      <c r="C4" s="6"/>
      <c r="D4" s="6"/>
      <c r="E4" s="7"/>
      <c r="F4" s="37" t="s">
        <v>275</v>
      </c>
      <c r="H4" s="7"/>
      <c r="I4" s="6"/>
      <c r="J4" s="6"/>
    </row>
    <row r="5" spans="2:10" ht="16" thickTop="1">
      <c r="B5" s="37" t="s">
        <v>2</v>
      </c>
      <c r="C5" s="37"/>
      <c r="D5" s="37"/>
      <c r="E5" s="10" t="s">
        <v>1</v>
      </c>
      <c r="F5" s="11" t="s">
        <v>1</v>
      </c>
      <c r="G5" s="11" t="s">
        <v>1</v>
      </c>
      <c r="H5" s="11" t="s">
        <v>1</v>
      </c>
      <c r="I5" s="11" t="s">
        <v>1</v>
      </c>
      <c r="J5" s="12" t="s">
        <v>1</v>
      </c>
    </row>
    <row r="6" spans="2:10" ht="15.5">
      <c r="B6" s="37"/>
      <c r="C6" s="37"/>
      <c r="D6" s="37"/>
      <c r="E6" s="140">
        <v>2017</v>
      </c>
      <c r="F6" s="141">
        <v>2018</v>
      </c>
      <c r="G6" s="141">
        <v>2019</v>
      </c>
      <c r="H6" s="141">
        <v>2020</v>
      </c>
      <c r="I6" s="141">
        <v>2021</v>
      </c>
      <c r="J6" s="142">
        <v>2022</v>
      </c>
    </row>
    <row r="7" spans="2:10" ht="15.5">
      <c r="B7" s="37"/>
      <c r="C7" s="37"/>
      <c r="D7" s="37"/>
      <c r="E7" s="13"/>
      <c r="F7" s="14"/>
      <c r="G7" s="14"/>
      <c r="H7" s="14"/>
      <c r="I7" s="14"/>
      <c r="J7" s="15"/>
    </row>
    <row r="8" spans="2:10" ht="15.5">
      <c r="B8" s="37" t="s">
        <v>3</v>
      </c>
      <c r="C8" s="37"/>
      <c r="D8" s="37"/>
      <c r="E8" s="16">
        <v>711052</v>
      </c>
      <c r="F8" s="17">
        <v>704730</v>
      </c>
      <c r="G8" s="17">
        <v>707739</v>
      </c>
      <c r="H8" s="17">
        <v>686129</v>
      </c>
      <c r="I8" s="17">
        <v>778508</v>
      </c>
      <c r="J8" s="18">
        <v>802430</v>
      </c>
    </row>
    <row r="9" spans="2:10" ht="15.5">
      <c r="B9" s="37" t="s">
        <v>4</v>
      </c>
      <c r="C9" s="37"/>
      <c r="D9" s="37"/>
      <c r="E9" s="16">
        <v>22202</v>
      </c>
      <c r="F9" s="17"/>
      <c r="G9" s="17">
        <v>70600</v>
      </c>
      <c r="H9" s="17">
        <v>100661</v>
      </c>
      <c r="I9" s="17">
        <v>102621</v>
      </c>
      <c r="J9" s="18">
        <v>10147</v>
      </c>
    </row>
    <row r="10" spans="2:10" ht="15.5">
      <c r="B10" s="37"/>
      <c r="C10" s="37"/>
      <c r="D10" s="37"/>
      <c r="E10" s="16"/>
      <c r="F10" s="17"/>
      <c r="G10" s="17"/>
      <c r="H10" s="17"/>
      <c r="I10" s="17"/>
      <c r="J10" s="18"/>
    </row>
    <row r="11" spans="2:10" ht="15.5">
      <c r="B11" s="37" t="s">
        <v>5</v>
      </c>
      <c r="C11" s="37"/>
      <c r="D11" s="9" t="s">
        <v>6</v>
      </c>
      <c r="E11" s="19">
        <v>733254</v>
      </c>
      <c r="F11" s="20">
        <v>704730</v>
      </c>
      <c r="G11" s="20">
        <v>778339</v>
      </c>
      <c r="H11" s="20">
        <v>786790</v>
      </c>
      <c r="I11" s="20">
        <v>881129</v>
      </c>
      <c r="J11" s="21">
        <f>SUM(J8:J9)</f>
        <v>812577</v>
      </c>
    </row>
    <row r="12" spans="2:10" ht="15.5">
      <c r="B12" s="37"/>
      <c r="C12" s="37"/>
      <c r="D12" s="37"/>
      <c r="E12" s="16"/>
      <c r="F12" s="17"/>
      <c r="G12" s="17"/>
      <c r="H12" s="17"/>
      <c r="I12" s="17"/>
      <c r="J12" s="18"/>
    </row>
    <row r="13" spans="2:10" ht="15.5">
      <c r="B13" s="37" t="s">
        <v>7</v>
      </c>
      <c r="C13" s="37"/>
      <c r="D13" s="37"/>
      <c r="E13" s="16"/>
      <c r="F13" s="17"/>
      <c r="G13" s="17"/>
      <c r="H13" s="17"/>
      <c r="I13" s="17"/>
      <c r="J13" s="18"/>
    </row>
    <row r="14" spans="2:10" ht="15.5">
      <c r="B14" s="37" t="s">
        <v>8</v>
      </c>
      <c r="C14" s="37"/>
      <c r="D14" s="37"/>
      <c r="E14" s="16">
        <v>452776</v>
      </c>
      <c r="F14" s="17">
        <v>529981</v>
      </c>
      <c r="G14" s="17">
        <v>578419</v>
      </c>
      <c r="H14" s="17">
        <v>509711</v>
      </c>
      <c r="I14" s="17">
        <v>634220</v>
      </c>
      <c r="J14" s="18">
        <v>829531</v>
      </c>
    </row>
    <row r="15" spans="2:10" ht="15.5">
      <c r="B15" s="37" t="s">
        <v>9</v>
      </c>
      <c r="C15" s="37"/>
      <c r="D15" s="37"/>
      <c r="E15" s="26">
        <v>67161</v>
      </c>
      <c r="F15" s="27">
        <v>68509</v>
      </c>
      <c r="G15" s="86">
        <v>63</v>
      </c>
      <c r="H15" s="27">
        <v>98548</v>
      </c>
      <c r="I15" s="27">
        <v>167510</v>
      </c>
      <c r="J15" s="28">
        <v>110417</v>
      </c>
    </row>
    <row r="16" spans="2:10" ht="15.5">
      <c r="B16" s="37" t="s">
        <v>10</v>
      </c>
      <c r="C16" s="37"/>
      <c r="D16" s="37"/>
      <c r="E16" s="26">
        <v>-5795</v>
      </c>
      <c r="F16" s="27">
        <v>-5145</v>
      </c>
      <c r="G16" s="27">
        <v>-3993</v>
      </c>
      <c r="H16" s="27">
        <v>-12275</v>
      </c>
      <c r="I16" s="27">
        <v>-12475</v>
      </c>
      <c r="J16" s="87"/>
    </row>
    <row r="17" spans="2:10" ht="15.5">
      <c r="B17" s="37" t="s">
        <v>11</v>
      </c>
      <c r="C17" s="37"/>
      <c r="D17" s="37"/>
      <c r="E17" s="26">
        <v>65017</v>
      </c>
      <c r="F17" s="27">
        <v>70478</v>
      </c>
      <c r="G17" s="27">
        <v>66656</v>
      </c>
      <c r="H17" s="27">
        <v>56356</v>
      </c>
      <c r="I17" s="86">
        <v>5700</v>
      </c>
      <c r="J17" s="28">
        <v>30434</v>
      </c>
    </row>
    <row r="18" spans="3:13" ht="15.5">
      <c r="C18" s="37"/>
      <c r="D18" s="9" t="s">
        <v>13</v>
      </c>
      <c r="E18" s="173">
        <v>52214</v>
      </c>
      <c r="F18" s="174">
        <v>65177</v>
      </c>
      <c r="G18" s="174">
        <v>43370</v>
      </c>
      <c r="H18" s="174">
        <v>26265</v>
      </c>
      <c r="I18" s="174">
        <v>29400</v>
      </c>
      <c r="J18" s="175">
        <v>39986</v>
      </c>
      <c r="M18" s="2"/>
    </row>
    <row r="19" spans="2:10" ht="15.5">
      <c r="B19" s="37"/>
      <c r="C19" s="37"/>
      <c r="D19" s="37"/>
      <c r="E19" s="16"/>
      <c r="F19" s="17"/>
      <c r="G19" s="17"/>
      <c r="H19" s="17"/>
      <c r="I19" s="17"/>
      <c r="J19" s="18"/>
    </row>
    <row r="20" spans="2:10" ht="15.5">
      <c r="B20" s="37" t="s">
        <v>14</v>
      </c>
      <c r="C20" s="37"/>
      <c r="D20" s="9" t="s">
        <v>6</v>
      </c>
      <c r="E20" s="16">
        <f>SUM(E14:E19)</f>
        <v>631373</v>
      </c>
      <c r="F20" s="17">
        <f>SUM(F14:F19)</f>
        <v>729000</v>
      </c>
      <c r="G20" s="17">
        <f>SUM(G14:G18)</f>
        <v>684515</v>
      </c>
      <c r="H20" s="17">
        <f>SUM(H14:H18)</f>
        <v>678605</v>
      </c>
      <c r="I20" s="17">
        <f>SUM(I14:I18)</f>
        <v>824355</v>
      </c>
      <c r="J20" s="18">
        <f>SUM(J14:J18)</f>
        <v>1010368</v>
      </c>
    </row>
    <row r="21" spans="2:10" ht="15.5">
      <c r="B21" s="37"/>
      <c r="C21" s="37"/>
      <c r="D21" s="37"/>
      <c r="E21" s="22"/>
      <c r="F21" s="17"/>
      <c r="G21" s="17"/>
      <c r="H21" s="17"/>
      <c r="I21" s="17"/>
      <c r="J21" s="18"/>
    </row>
    <row r="22" spans="2:10" ht="16" thickBot="1">
      <c r="B22" s="37" t="s">
        <v>15</v>
      </c>
      <c r="C22" s="37"/>
      <c r="D22" s="37"/>
      <c r="E22" s="23">
        <f>+E11-E20</f>
        <v>101881</v>
      </c>
      <c r="F22" s="24">
        <f>+F11-F20</f>
        <v>-24270</v>
      </c>
      <c r="G22" s="24">
        <f>+G11-G20</f>
        <v>93824</v>
      </c>
      <c r="H22" s="24">
        <f t="shared" si="0" ref="H22:J22">+H11-H20</f>
        <v>108185</v>
      </c>
      <c r="I22" s="24">
        <f t="shared" si="0"/>
        <v>56774</v>
      </c>
      <c r="J22" s="25">
        <f t="shared" si="0"/>
        <v>-197791</v>
      </c>
    </row>
    <row r="23" spans="2:10" ht="16" thickTop="1">
      <c r="B23" s="6"/>
      <c r="C23" s="6"/>
      <c r="D23" s="6"/>
      <c r="E23" s="7"/>
      <c r="F23" s="7"/>
      <c r="G23" s="7"/>
      <c r="H23" s="7"/>
      <c r="I23" s="6"/>
      <c r="J23" s="6"/>
    </row>
    <row r="26" ht="14.5">
      <c r="J26" s="2"/>
    </row>
    <row r="29" ht="14.5">
      <c r="G29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32"/>
  <sheetViews>
    <sheetView workbookViewId="0" topLeftCell="A1">
      <selection pane="topLeft" activeCell="M20" sqref="M20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customWidth="1"/>
    <col min="5" max="5" width="5.14285714285714" customWidth="1"/>
    <col min="6" max="6" width="19" customWidth="1"/>
  </cols>
  <sheetData>
    <row r="1" spans="4:6" ht="15.5">
      <c r="D1" s="102" t="s">
        <v>70</v>
      </c>
      <c r="F1" s="38" t="s">
        <v>68</v>
      </c>
    </row>
    <row r="2" spans="4:6" ht="15.5">
      <c r="D2" s="102" t="s">
        <v>71</v>
      </c>
      <c r="F2" s="38" t="s">
        <v>262</v>
      </c>
    </row>
    <row r="3" ht="15" thickBot="1"/>
    <row r="4" spans="1:9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</row>
    <row r="5" spans="1:9" ht="15.5">
      <c r="A5" s="37"/>
      <c r="B5" s="37"/>
      <c r="C5" s="37"/>
      <c r="D5" s="167">
        <v>2019</v>
      </c>
      <c r="E5" s="167"/>
      <c r="F5" s="168">
        <v>2019</v>
      </c>
      <c r="G5" s="4"/>
      <c r="H5" s="4"/>
      <c r="I5" s="4"/>
    </row>
    <row r="6" spans="1:9" ht="15.5">
      <c r="A6" s="37"/>
      <c r="B6" s="37"/>
      <c r="C6" s="37"/>
      <c r="D6" s="197"/>
      <c r="E6" s="89"/>
      <c r="F6" s="94"/>
      <c r="G6" s="4"/>
      <c r="H6" s="4"/>
      <c r="I6" s="4"/>
    </row>
    <row r="7" spans="1:9" ht="15.5">
      <c r="A7" s="37" t="s">
        <v>3</v>
      </c>
      <c r="B7" s="37"/>
      <c r="C7" s="37"/>
      <c r="D7" s="97">
        <v>707739</v>
      </c>
      <c r="E7" s="90"/>
      <c r="F7" s="95">
        <f>+D7</f>
        <v>707739</v>
      </c>
      <c r="G7" s="37" t="s">
        <v>3</v>
      </c>
      <c r="H7" s="4"/>
      <c r="I7" s="4"/>
    </row>
    <row r="8" spans="1:9" ht="15.5">
      <c r="A8" s="37" t="s">
        <v>4</v>
      </c>
      <c r="B8" s="37"/>
      <c r="C8" s="37"/>
      <c r="D8" s="97">
        <v>70600</v>
      </c>
      <c r="E8" s="90"/>
      <c r="F8" s="95">
        <f>+D8</f>
        <v>70600</v>
      </c>
      <c r="G8" s="37" t="s">
        <v>4</v>
      </c>
      <c r="H8" s="4"/>
      <c r="I8" s="4"/>
    </row>
    <row r="9" spans="1:9" ht="15.5">
      <c r="A9" s="37"/>
      <c r="B9" s="37"/>
      <c r="C9" s="37"/>
      <c r="D9" s="97"/>
      <c r="E9" s="90"/>
      <c r="F9" s="95"/>
      <c r="G9" s="37"/>
      <c r="H9" s="4"/>
      <c r="I9" s="4"/>
    </row>
    <row r="10" spans="1:9" ht="15.5">
      <c r="A10" s="37" t="s">
        <v>5</v>
      </c>
      <c r="B10" s="37"/>
      <c r="C10" s="9" t="s">
        <v>6</v>
      </c>
      <c r="D10" s="100">
        <f>SUM(D7:D9)</f>
        <v>778339</v>
      </c>
      <c r="E10" s="91"/>
      <c r="F10" s="96">
        <f>SUM(F7:F9)</f>
        <v>778339</v>
      </c>
      <c r="G10" s="37" t="s">
        <v>5</v>
      </c>
      <c r="H10" s="4"/>
      <c r="I10" s="4"/>
    </row>
    <row r="11" spans="1:9" ht="15.5">
      <c r="A11" s="37"/>
      <c r="B11" s="37"/>
      <c r="C11" s="37"/>
      <c r="D11" s="97"/>
      <c r="E11" s="90"/>
      <c r="F11" s="95"/>
      <c r="G11" s="4"/>
      <c r="H11" s="4"/>
      <c r="I11" s="4"/>
    </row>
    <row r="12" spans="1:9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</row>
    <row r="13" spans="1:9" ht="15.5">
      <c r="A13" s="37" t="s">
        <v>8</v>
      </c>
      <c r="B13" s="37"/>
      <c r="C13" s="37"/>
      <c r="D13" s="97">
        <v>578419</v>
      </c>
      <c r="E13" s="90"/>
      <c r="F13" s="97">
        <f>+D13</f>
        <v>578419</v>
      </c>
      <c r="G13" s="37" t="s">
        <v>8</v>
      </c>
      <c r="H13" s="4"/>
      <c r="I13" s="4"/>
    </row>
    <row r="14" spans="1:9" ht="15.5">
      <c r="A14" s="37" t="s">
        <v>9</v>
      </c>
      <c r="B14" s="37"/>
      <c r="C14" s="37"/>
      <c r="D14" s="97">
        <v>63</v>
      </c>
      <c r="E14" s="90"/>
      <c r="F14" s="97">
        <f t="shared" si="0" ref="F14:F16">+D14</f>
        <v>63</v>
      </c>
      <c r="G14" s="37" t="s">
        <v>9</v>
      </c>
      <c r="H14" s="4"/>
      <c r="I14" s="4"/>
    </row>
    <row r="15" spans="1:9" ht="15.5">
      <c r="A15" s="37" t="s">
        <v>10</v>
      </c>
      <c r="B15" s="37"/>
      <c r="C15" s="37"/>
      <c r="D15" s="97">
        <v>-3993</v>
      </c>
      <c r="E15" s="90"/>
      <c r="F15" s="97">
        <f t="shared" si="0"/>
        <v>-3993</v>
      </c>
      <c r="G15" s="37" t="s">
        <v>10</v>
      </c>
      <c r="H15" s="4"/>
      <c r="I15" s="4"/>
    </row>
    <row r="16" spans="1:9" ht="15.5">
      <c r="A16" s="37" t="s">
        <v>11</v>
      </c>
      <c r="B16" s="37"/>
      <c r="C16" s="37"/>
      <c r="D16" s="97">
        <v>66656</v>
      </c>
      <c r="E16" s="90"/>
      <c r="F16" s="97">
        <f t="shared" si="0"/>
        <v>66656</v>
      </c>
      <c r="G16" s="37" t="s">
        <v>11</v>
      </c>
      <c r="H16" s="4"/>
      <c r="I16" s="4"/>
    </row>
    <row r="17" spans="1:9" ht="15.5">
      <c r="A17" s="37"/>
      <c r="B17" s="37"/>
      <c r="C17" s="37"/>
      <c r="D17" s="97"/>
      <c r="E17" s="90"/>
      <c r="F17" s="101">
        <v>43370</v>
      </c>
      <c r="G17" s="37" t="s">
        <v>13</v>
      </c>
      <c r="H17" s="4"/>
      <c r="I17" s="4"/>
    </row>
    <row r="18" spans="1:9" ht="15.5">
      <c r="A18" s="37" t="s">
        <v>12</v>
      </c>
      <c r="B18" s="37"/>
      <c r="C18" s="37"/>
      <c r="D18" s="97"/>
      <c r="E18" s="90"/>
      <c r="F18" s="97"/>
      <c r="G18" s="4"/>
      <c r="H18" s="4"/>
      <c r="I18" s="4"/>
    </row>
    <row r="19" spans="1:9" ht="15.5">
      <c r="A19" s="37"/>
      <c r="B19" s="37"/>
      <c r="C19" s="37"/>
      <c r="D19" s="97"/>
      <c r="E19" s="90"/>
      <c r="F19" s="97"/>
      <c r="G19" s="4"/>
      <c r="H19" s="4"/>
      <c r="I19" s="4"/>
    </row>
    <row r="20" spans="1:9" ht="15.5">
      <c r="A20" s="37" t="s">
        <v>64</v>
      </c>
      <c r="B20" s="37"/>
      <c r="C20" s="37"/>
      <c r="D20" s="100">
        <f>SUM(D13:D19)</f>
        <v>641145</v>
      </c>
      <c r="E20" s="91"/>
      <c r="F20" s="100">
        <f>SUM(F13:F19)</f>
        <v>684515</v>
      </c>
      <c r="G20" s="37" t="s">
        <v>14</v>
      </c>
      <c r="H20" s="4"/>
      <c r="I20" s="4"/>
    </row>
    <row r="21" spans="1:9" ht="15.5">
      <c r="A21" s="37"/>
      <c r="B21" s="37"/>
      <c r="C21" s="37"/>
      <c r="D21" s="97"/>
      <c r="E21" s="90"/>
      <c r="F21" s="95"/>
      <c r="G21" s="4"/>
      <c r="H21" s="4"/>
      <c r="I21" s="4"/>
    </row>
    <row r="22" spans="1:9" ht="15.5">
      <c r="A22" s="37" t="s">
        <v>65</v>
      </c>
      <c r="B22" s="37"/>
      <c r="C22" s="37"/>
      <c r="D22" s="100">
        <f>+D10-D20</f>
        <v>137194</v>
      </c>
      <c r="E22" s="91"/>
      <c r="F22" s="95">
        <f>+F10-F20</f>
        <v>93824</v>
      </c>
      <c r="G22" s="36" t="s">
        <v>15</v>
      </c>
      <c r="H22" s="36"/>
      <c r="I22" s="36"/>
    </row>
    <row r="23" spans="1:9" ht="15.5">
      <c r="A23" s="37"/>
      <c r="B23" s="37"/>
      <c r="C23" s="37"/>
      <c r="D23" s="97"/>
      <c r="E23" s="90"/>
      <c r="F23" s="98"/>
      <c r="G23" s="4"/>
      <c r="H23" s="4"/>
      <c r="I23" s="4"/>
    </row>
    <row r="24" spans="1:9" ht="15.5">
      <c r="A24" s="37" t="s">
        <v>66</v>
      </c>
      <c r="B24" s="37"/>
      <c r="C24" s="37"/>
      <c r="D24" s="101">
        <f>+D22*0.21*-1</f>
        <v>-28810.739999999998</v>
      </c>
      <c r="E24" s="90"/>
      <c r="F24" s="98"/>
      <c r="G24" s="4"/>
      <c r="H24" s="4"/>
      <c r="I24" s="4"/>
    </row>
    <row r="25" spans="1:9" ht="15.5">
      <c r="A25" s="37"/>
      <c r="B25" s="37"/>
      <c r="C25" s="37"/>
      <c r="D25" s="97"/>
      <c r="E25" s="90"/>
      <c r="F25" s="98"/>
      <c r="G25" s="4"/>
      <c r="H25" s="4"/>
      <c r="I25" s="4"/>
    </row>
    <row r="26" spans="1:9" ht="15.5">
      <c r="A26" s="37" t="s">
        <v>12</v>
      </c>
      <c r="B26" s="37"/>
      <c r="C26" s="9" t="s">
        <v>6</v>
      </c>
      <c r="D26" s="97"/>
      <c r="E26" s="90"/>
      <c r="F26" s="98"/>
      <c r="G26" s="4"/>
      <c r="H26" s="4"/>
      <c r="I26" s="4"/>
    </row>
    <row r="27" spans="1:9" ht="15.5">
      <c r="A27" s="37"/>
      <c r="B27" s="37"/>
      <c r="C27" s="37"/>
      <c r="D27" s="203"/>
      <c r="E27" s="90"/>
      <c r="F27" s="98"/>
      <c r="G27" s="4"/>
      <c r="H27" s="4"/>
      <c r="I27" s="4"/>
    </row>
    <row r="28" spans="1:9" ht="16" thickBot="1">
      <c r="A28" s="37" t="s">
        <v>67</v>
      </c>
      <c r="B28" s="37"/>
      <c r="C28" s="37"/>
      <c r="D28" s="92">
        <f>+D22+D24+D26</f>
        <v>108383.26000000001</v>
      </c>
      <c r="E28" s="92"/>
      <c r="F28" s="99">
        <f>+F22+F26</f>
        <v>93824</v>
      </c>
      <c r="G28" s="36" t="s">
        <v>67</v>
      </c>
      <c r="H28" s="4"/>
      <c r="I28" s="4"/>
    </row>
    <row r="29" spans="1:9" ht="15" thickTop="1">
      <c r="A29" s="4"/>
      <c r="B29" s="4"/>
      <c r="C29" s="4"/>
      <c r="D29" s="4"/>
      <c r="E29" s="4"/>
      <c r="F29" s="4"/>
      <c r="G29" s="4"/>
      <c r="H29" s="4"/>
      <c r="I29" s="4"/>
    </row>
    <row r="30" spans="1:5" ht="15.5">
      <c r="A30" s="37" t="s">
        <v>259</v>
      </c>
      <c r="B30" s="30"/>
      <c r="C30" s="30"/>
      <c r="D30" s="30"/>
      <c r="E30" s="30"/>
    </row>
    <row r="31" ht="15.5">
      <c r="A31" s="37" t="s">
        <v>281</v>
      </c>
    </row>
    <row r="32" ht="15.5">
      <c r="A32" s="37" t="s">
        <v>261</v>
      </c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32"/>
  <sheetViews>
    <sheetView workbookViewId="0" topLeftCell="A1">
      <selection pane="topLeft" activeCell="M19" sqref="M19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customWidth="1"/>
    <col min="5" max="5" width="5.14285714285714" customWidth="1"/>
    <col min="6" max="6" width="19" customWidth="1"/>
  </cols>
  <sheetData>
    <row r="1" spans="4:6" ht="15.5">
      <c r="D1" s="102" t="s">
        <v>70</v>
      </c>
      <c r="F1" s="38" t="s">
        <v>68</v>
      </c>
    </row>
    <row r="2" spans="4:6" ht="15.5">
      <c r="D2" s="102" t="s">
        <v>71</v>
      </c>
      <c r="F2" s="38" t="s">
        <v>263</v>
      </c>
    </row>
    <row r="3" ht="15" thickBot="1"/>
    <row r="4" spans="1:10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  <c r="J4" s="4"/>
    </row>
    <row r="5" spans="1:10" ht="15.5">
      <c r="A5" s="37"/>
      <c r="B5" s="37"/>
      <c r="C5" s="37"/>
      <c r="D5" s="167">
        <v>2020</v>
      </c>
      <c r="E5" s="167"/>
      <c r="F5" s="168">
        <v>2020</v>
      </c>
      <c r="G5" s="4"/>
      <c r="H5" s="4"/>
      <c r="I5" s="4"/>
      <c r="J5" s="4"/>
    </row>
    <row r="6" spans="1:10" ht="15.5">
      <c r="A6" s="37"/>
      <c r="B6" s="37"/>
      <c r="C6" s="37"/>
      <c r="D6" s="197"/>
      <c r="E6" s="89"/>
      <c r="F6" s="94"/>
      <c r="G6" s="4"/>
      <c r="H6" s="4"/>
      <c r="I6" s="4"/>
      <c r="J6" s="4"/>
    </row>
    <row r="7" spans="1:10" ht="15.5">
      <c r="A7" s="37" t="s">
        <v>3</v>
      </c>
      <c r="B7" s="37"/>
      <c r="C7" s="37"/>
      <c r="D7" s="97">
        <v>686129</v>
      </c>
      <c r="E7" s="90"/>
      <c r="F7" s="95">
        <f>+D7</f>
        <v>686129</v>
      </c>
      <c r="G7" s="37" t="s">
        <v>3</v>
      </c>
      <c r="H7" s="4"/>
      <c r="I7" s="4"/>
      <c r="J7" s="4"/>
    </row>
    <row r="8" spans="1:10" ht="15.5">
      <c r="A8" s="37" t="s">
        <v>4</v>
      </c>
      <c r="B8" s="37"/>
      <c r="C8" s="37"/>
      <c r="D8" s="97">
        <v>100661</v>
      </c>
      <c r="E8" s="90"/>
      <c r="F8" s="95">
        <f>+D8</f>
        <v>100661</v>
      </c>
      <c r="G8" s="37" t="s">
        <v>4</v>
      </c>
      <c r="H8" s="4"/>
      <c r="I8" s="4"/>
      <c r="J8" s="4"/>
    </row>
    <row r="9" spans="1:10" ht="15.5">
      <c r="A9" s="37"/>
      <c r="B9" s="37"/>
      <c r="C9" s="37"/>
      <c r="D9" s="97"/>
      <c r="E9" s="90"/>
      <c r="F9" s="95"/>
      <c r="G9" s="37"/>
      <c r="H9" s="4"/>
      <c r="I9" s="4"/>
      <c r="J9" s="4"/>
    </row>
    <row r="10" spans="1:10" ht="15.5">
      <c r="A10" s="37" t="s">
        <v>5</v>
      </c>
      <c r="B10" s="37"/>
      <c r="C10" s="9" t="s">
        <v>6</v>
      </c>
      <c r="D10" s="100">
        <f>SUM(D7:D9)</f>
        <v>786790</v>
      </c>
      <c r="E10" s="91"/>
      <c r="F10" s="96">
        <f>SUM(F7:F9)</f>
        <v>786790</v>
      </c>
      <c r="G10" s="37" t="s">
        <v>5</v>
      </c>
      <c r="H10" s="4"/>
      <c r="I10" s="4"/>
      <c r="J10" s="4"/>
    </row>
    <row r="11" spans="1:10" ht="15.5">
      <c r="A11" s="37"/>
      <c r="B11" s="37"/>
      <c r="C11" s="37"/>
      <c r="D11" s="97"/>
      <c r="E11" s="90"/>
      <c r="F11" s="95"/>
      <c r="G11" s="4"/>
      <c r="H11" s="4"/>
      <c r="I11" s="4"/>
      <c r="J11" s="4"/>
    </row>
    <row r="12" spans="1:10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  <c r="J12" s="4"/>
    </row>
    <row r="13" spans="1:10" ht="15.5">
      <c r="A13" s="37" t="s">
        <v>8</v>
      </c>
      <c r="B13" s="37"/>
      <c r="C13" s="37"/>
      <c r="D13" s="97">
        <v>509711</v>
      </c>
      <c r="E13" s="90"/>
      <c r="F13" s="97">
        <f>+D13</f>
        <v>509711</v>
      </c>
      <c r="G13" s="37" t="s">
        <v>8</v>
      </c>
      <c r="H13" s="4"/>
      <c r="I13" s="4"/>
      <c r="J13" s="4"/>
    </row>
    <row r="14" spans="1:10" ht="15.5">
      <c r="A14" s="37" t="s">
        <v>9</v>
      </c>
      <c r="B14" s="37"/>
      <c r="C14" s="37"/>
      <c r="D14" s="97">
        <v>98548</v>
      </c>
      <c r="E14" s="90"/>
      <c r="F14" s="97">
        <f t="shared" si="0" ref="F14:F16">+D14</f>
        <v>98548</v>
      </c>
      <c r="G14" s="37" t="s">
        <v>9</v>
      </c>
      <c r="H14" s="4"/>
      <c r="I14" s="4"/>
      <c r="J14" s="4"/>
    </row>
    <row r="15" spans="1:10" ht="15.5">
      <c r="A15" s="37" t="s">
        <v>10</v>
      </c>
      <c r="B15" s="37"/>
      <c r="C15" s="37"/>
      <c r="D15" s="97">
        <v>-12275</v>
      </c>
      <c r="E15" s="90"/>
      <c r="F15" s="97">
        <f t="shared" si="0"/>
        <v>-12275</v>
      </c>
      <c r="G15" s="37" t="s">
        <v>10</v>
      </c>
      <c r="H15" s="4"/>
      <c r="I15" s="4"/>
      <c r="J15" s="4"/>
    </row>
    <row r="16" spans="1:10" ht="15.5">
      <c r="A16" s="37" t="s">
        <v>11</v>
      </c>
      <c r="B16" s="37"/>
      <c r="C16" s="37"/>
      <c r="D16" s="97">
        <v>56356</v>
      </c>
      <c r="E16" s="90"/>
      <c r="F16" s="97">
        <f t="shared" si="0"/>
        <v>56356</v>
      </c>
      <c r="G16" s="37" t="s">
        <v>11</v>
      </c>
      <c r="H16" s="4"/>
      <c r="I16" s="4"/>
      <c r="J16" s="4"/>
    </row>
    <row r="17" spans="1:10" ht="15.5">
      <c r="A17" s="37"/>
      <c r="B17" s="37"/>
      <c r="C17" s="37"/>
      <c r="D17" s="97"/>
      <c r="E17" s="90"/>
      <c r="F17" s="101">
        <v>26265</v>
      </c>
      <c r="G17" s="37" t="s">
        <v>13</v>
      </c>
      <c r="H17" s="4"/>
      <c r="I17" s="4"/>
      <c r="J17" s="4"/>
    </row>
    <row r="18" spans="1:10" ht="15.5">
      <c r="A18" s="37" t="s">
        <v>12</v>
      </c>
      <c r="B18" s="37"/>
      <c r="C18" s="37"/>
      <c r="D18" s="97">
        <v>43</v>
      </c>
      <c r="E18" s="90"/>
      <c r="F18" s="97"/>
      <c r="G18" s="4"/>
      <c r="H18" s="4"/>
      <c r="I18" s="4"/>
      <c r="J18" s="4"/>
    </row>
    <row r="19" spans="1:10" ht="15.5">
      <c r="A19" s="37"/>
      <c r="B19" s="37"/>
      <c r="C19" s="37"/>
      <c r="D19" s="97"/>
      <c r="E19" s="90"/>
      <c r="F19" s="97"/>
      <c r="G19" s="4"/>
      <c r="H19" s="4"/>
      <c r="I19" s="4"/>
      <c r="J19" s="4"/>
    </row>
    <row r="20" spans="1:10" ht="15.5">
      <c r="A20" s="37" t="s">
        <v>64</v>
      </c>
      <c r="B20" s="37"/>
      <c r="C20" s="37"/>
      <c r="D20" s="100">
        <f>SUM(D13:D19)</f>
        <v>652383</v>
      </c>
      <c r="E20" s="91"/>
      <c r="F20" s="100">
        <f>SUM(F13:F19)</f>
        <v>678605</v>
      </c>
      <c r="G20" s="37" t="s">
        <v>14</v>
      </c>
      <c r="H20" s="4"/>
      <c r="I20" s="4"/>
      <c r="J20" s="4"/>
    </row>
    <row r="21" spans="1:10" ht="15.5">
      <c r="A21" s="37"/>
      <c r="B21" s="37"/>
      <c r="C21" s="37"/>
      <c r="D21" s="97"/>
      <c r="E21" s="90"/>
      <c r="F21" s="95"/>
      <c r="G21" s="4"/>
      <c r="H21" s="4"/>
      <c r="I21" s="4"/>
      <c r="J21" s="4"/>
    </row>
    <row r="22" spans="1:10" ht="15.5">
      <c r="A22" s="37" t="s">
        <v>65</v>
      </c>
      <c r="B22" s="37"/>
      <c r="C22" s="37"/>
      <c r="D22" s="100">
        <f>+D10-D20</f>
        <v>134407</v>
      </c>
      <c r="E22" s="91"/>
      <c r="F22" s="96">
        <f>+F10-F20</f>
        <v>108185</v>
      </c>
      <c r="G22" s="36" t="s">
        <v>15</v>
      </c>
      <c r="H22" s="36"/>
      <c r="I22" s="36"/>
      <c r="J22" s="36"/>
    </row>
    <row r="23" spans="1:10" ht="15.5">
      <c r="A23" s="37"/>
      <c r="B23" s="37"/>
      <c r="C23" s="37"/>
      <c r="D23" s="97"/>
      <c r="E23" s="90"/>
      <c r="F23" s="98"/>
      <c r="G23" s="4"/>
      <c r="H23" s="4"/>
      <c r="I23" s="4"/>
      <c r="J23" s="4"/>
    </row>
    <row r="24" spans="1:10" ht="15.5">
      <c r="A24" s="37" t="s">
        <v>66</v>
      </c>
      <c r="B24" s="37"/>
      <c r="C24" s="37"/>
      <c r="D24" s="101">
        <f>+D22*0.21*-1</f>
        <v>-28225.469999999998</v>
      </c>
      <c r="E24" s="90"/>
      <c r="F24" s="98"/>
      <c r="G24" s="4"/>
      <c r="H24" s="4"/>
      <c r="I24" s="4"/>
      <c r="J24" s="4"/>
    </row>
    <row r="25" spans="1:10" ht="15.5">
      <c r="A25" s="37"/>
      <c r="B25" s="37"/>
      <c r="C25" s="37"/>
      <c r="D25" s="97"/>
      <c r="E25" s="90"/>
      <c r="F25" s="98"/>
      <c r="G25" s="4"/>
      <c r="H25" s="4"/>
      <c r="I25" s="4"/>
      <c r="J25" s="4"/>
    </row>
    <row r="26" spans="1:10" ht="15.5">
      <c r="A26" s="37" t="s">
        <v>12</v>
      </c>
      <c r="B26" s="37"/>
      <c r="C26" s="9" t="s">
        <v>6</v>
      </c>
      <c r="D26" s="97">
        <v>-43</v>
      </c>
      <c r="E26" s="90"/>
      <c r="F26" s="171">
        <f>+D26</f>
        <v>-43</v>
      </c>
      <c r="G26" s="4"/>
      <c r="H26" s="4"/>
      <c r="I26" s="4"/>
      <c r="J26" s="4"/>
    </row>
    <row r="27" spans="1:10" ht="15.5">
      <c r="A27" s="37"/>
      <c r="B27" s="37"/>
      <c r="C27" s="37"/>
      <c r="D27" s="203"/>
      <c r="E27" s="90"/>
      <c r="F27" s="98"/>
      <c r="G27" s="4"/>
      <c r="H27" s="4"/>
      <c r="I27" s="4"/>
      <c r="J27" s="4"/>
    </row>
    <row r="28" spans="1:10" ht="16" thickBot="1">
      <c r="A28" s="37" t="s">
        <v>67</v>
      </c>
      <c r="B28" s="37"/>
      <c r="C28" s="37"/>
      <c r="D28" s="92">
        <f>+D22+D24+D26</f>
        <v>106138.53</v>
      </c>
      <c r="E28" s="92"/>
      <c r="F28" s="99">
        <f>+F22+F26</f>
        <v>108142</v>
      </c>
      <c r="G28" s="36" t="s">
        <v>67</v>
      </c>
      <c r="H28" s="4"/>
      <c r="I28" s="4"/>
      <c r="J28" s="4"/>
    </row>
    <row r="29" spans="1:10" ht="15" thickTop="1">
      <c r="A29" s="4"/>
      <c r="B29" s="4"/>
      <c r="C29" s="4"/>
      <c r="D29" s="4"/>
      <c r="E29" s="4"/>
      <c r="F29" s="4"/>
      <c r="G29" s="4"/>
      <c r="H29" s="4"/>
      <c r="I29" s="4"/>
      <c r="J29" s="4"/>
    </row>
    <row r="30" spans="1:5" ht="15.5">
      <c r="A30" s="37" t="s">
        <v>259</v>
      </c>
      <c r="B30" s="30"/>
      <c r="C30" s="30"/>
      <c r="D30" s="30"/>
      <c r="E30" s="30"/>
    </row>
    <row r="31" ht="15.5">
      <c r="A31" s="37" t="s">
        <v>260</v>
      </c>
    </row>
    <row r="32" ht="15.5">
      <c r="A32" s="37" t="s">
        <v>261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32"/>
  <sheetViews>
    <sheetView workbookViewId="0" topLeftCell="A1">
      <selection pane="topLeft" activeCell="Q12" sqref="Q12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customWidth="1"/>
    <col min="5" max="5" width="5.14285714285714" customWidth="1"/>
    <col min="6" max="6" width="19" customWidth="1"/>
  </cols>
  <sheetData>
    <row r="1" spans="4:6" ht="15.5">
      <c r="D1" s="102" t="s">
        <v>70</v>
      </c>
      <c r="F1" s="38" t="s">
        <v>68</v>
      </c>
    </row>
    <row r="2" spans="4:6" ht="15.5">
      <c r="D2" s="102" t="s">
        <v>71</v>
      </c>
      <c r="F2" s="38" t="s">
        <v>289</v>
      </c>
    </row>
    <row r="3" ht="15" thickBot="1"/>
    <row r="4" spans="1:10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  <c r="J4" s="4"/>
    </row>
    <row r="5" spans="1:10" ht="15.5">
      <c r="A5" s="37"/>
      <c r="B5" s="37"/>
      <c r="C5" s="37"/>
      <c r="D5" s="204">
        <v>2021</v>
      </c>
      <c r="E5" s="167"/>
      <c r="F5" s="168">
        <v>2021</v>
      </c>
      <c r="G5" s="4"/>
      <c r="H5" s="4"/>
      <c r="I5" s="4"/>
      <c r="J5" s="4"/>
    </row>
    <row r="6" spans="1:10" ht="15.5">
      <c r="A6" s="37"/>
      <c r="B6" s="37"/>
      <c r="C6" s="37"/>
      <c r="D6" s="198"/>
      <c r="E6" s="89"/>
      <c r="F6" s="94"/>
      <c r="G6" s="4"/>
      <c r="H6" s="4"/>
      <c r="I6" s="4"/>
      <c r="J6" s="4"/>
    </row>
    <row r="7" spans="1:10" ht="15.5">
      <c r="A7" s="37" t="s">
        <v>3</v>
      </c>
      <c r="B7" s="37"/>
      <c r="C7" s="37"/>
      <c r="D7" s="97">
        <v>778508</v>
      </c>
      <c r="E7" s="90"/>
      <c r="F7" s="95">
        <f>+D7</f>
        <v>778508</v>
      </c>
      <c r="G7" s="37" t="s">
        <v>3</v>
      </c>
      <c r="H7" s="4"/>
      <c r="I7" s="4"/>
      <c r="J7" s="4"/>
    </row>
    <row r="8" spans="1:10" ht="15.5">
      <c r="A8" s="37" t="s">
        <v>4</v>
      </c>
      <c r="B8" s="37"/>
      <c r="C8" s="37"/>
      <c r="D8" s="97">
        <v>102621</v>
      </c>
      <c r="E8" s="90"/>
      <c r="F8" s="95">
        <f>+D8</f>
        <v>102621</v>
      </c>
      <c r="G8" s="37" t="s">
        <v>4</v>
      </c>
      <c r="H8" s="4"/>
      <c r="I8" s="4"/>
      <c r="J8" s="4"/>
    </row>
    <row r="9" spans="1:10" ht="15.5">
      <c r="A9" s="37"/>
      <c r="B9" s="37"/>
      <c r="C9" s="37"/>
      <c r="D9" s="97"/>
      <c r="E9" s="90"/>
      <c r="F9" s="95"/>
      <c r="G9" s="37"/>
      <c r="H9" s="4"/>
      <c r="I9" s="4"/>
      <c r="J9" s="4"/>
    </row>
    <row r="10" spans="1:10" ht="15.5">
      <c r="A10" s="37" t="s">
        <v>5</v>
      </c>
      <c r="B10" s="37"/>
      <c r="C10" s="9" t="s">
        <v>6</v>
      </c>
      <c r="D10" s="100">
        <f>SUM(D7:D9)</f>
        <v>881129</v>
      </c>
      <c r="E10" s="91"/>
      <c r="F10" s="96">
        <f>SUM(F7:F9)</f>
        <v>881129</v>
      </c>
      <c r="G10" s="37" t="s">
        <v>5</v>
      </c>
      <c r="H10" s="4"/>
      <c r="I10" s="4"/>
      <c r="J10" s="4"/>
    </row>
    <row r="11" spans="1:10" ht="15.5">
      <c r="A11" s="37"/>
      <c r="B11" s="37"/>
      <c r="C11" s="37"/>
      <c r="D11" s="97"/>
      <c r="E11" s="90"/>
      <c r="F11" s="95"/>
      <c r="G11" s="4"/>
      <c r="H11" s="4"/>
      <c r="I11" s="4"/>
      <c r="J11" s="4"/>
    </row>
    <row r="12" spans="1:10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  <c r="J12" s="4"/>
    </row>
    <row r="13" spans="1:10" ht="15.5">
      <c r="A13" s="37" t="s">
        <v>8</v>
      </c>
      <c r="B13" s="37"/>
      <c r="C13" s="37"/>
      <c r="D13" s="97">
        <v>634220</v>
      </c>
      <c r="E13" s="90"/>
      <c r="F13" s="97">
        <f>+D13</f>
        <v>634220</v>
      </c>
      <c r="G13" s="37" t="s">
        <v>8</v>
      </c>
      <c r="H13" s="4"/>
      <c r="I13" s="4"/>
      <c r="J13" s="4"/>
    </row>
    <row r="14" spans="1:10" ht="15.5">
      <c r="A14" s="37" t="s">
        <v>9</v>
      </c>
      <c r="B14" s="37"/>
      <c r="C14" s="37"/>
      <c r="D14" s="97">
        <v>167510</v>
      </c>
      <c r="E14" s="90"/>
      <c r="F14" s="97">
        <f t="shared" si="0" ref="F14:F16">+D14</f>
        <v>167510</v>
      </c>
      <c r="G14" s="37" t="s">
        <v>9</v>
      </c>
      <c r="H14" s="4"/>
      <c r="I14" s="4"/>
      <c r="J14" s="4"/>
    </row>
    <row r="15" spans="1:10" ht="15.5">
      <c r="A15" s="37" t="s">
        <v>10</v>
      </c>
      <c r="B15" s="37"/>
      <c r="C15" s="37"/>
      <c r="D15" s="97">
        <v>-12475</v>
      </c>
      <c r="E15" s="90"/>
      <c r="F15" s="97">
        <f t="shared" si="0"/>
        <v>-12475</v>
      </c>
      <c r="G15" s="37" t="s">
        <v>10</v>
      </c>
      <c r="H15" s="4"/>
      <c r="I15" s="4"/>
      <c r="J15" s="4"/>
    </row>
    <row r="16" spans="1:10" ht="15.5">
      <c r="A16" s="37" t="s">
        <v>11</v>
      </c>
      <c r="B16" s="37"/>
      <c r="C16" s="37"/>
      <c r="D16" s="97">
        <v>5700</v>
      </c>
      <c r="E16" s="90"/>
      <c r="F16" s="97">
        <f t="shared" si="0"/>
        <v>5700</v>
      </c>
      <c r="G16" s="37" t="s">
        <v>11</v>
      </c>
      <c r="H16" s="4"/>
      <c r="I16" s="4"/>
      <c r="J16" s="4"/>
    </row>
    <row r="17" spans="1:10" ht="15.5">
      <c r="A17" s="37"/>
      <c r="B17" s="37"/>
      <c r="C17" s="37"/>
      <c r="D17" s="97"/>
      <c r="E17" s="90"/>
      <c r="F17" s="101">
        <v>29400</v>
      </c>
      <c r="G17" s="37" t="s">
        <v>13</v>
      </c>
      <c r="H17" s="4"/>
      <c r="I17" s="4"/>
      <c r="J17" s="4"/>
    </row>
    <row r="18" spans="1:10" ht="15.5">
      <c r="A18" s="37" t="s">
        <v>12</v>
      </c>
      <c r="B18" s="37"/>
      <c r="C18" s="37"/>
      <c r="D18" s="97">
        <v>18236</v>
      </c>
      <c r="E18" s="90"/>
      <c r="F18" s="97"/>
      <c r="G18" s="4"/>
      <c r="H18" s="4"/>
      <c r="I18" s="4"/>
      <c r="J18" s="4"/>
    </row>
    <row r="19" spans="1:10" ht="15.5">
      <c r="A19" s="37"/>
      <c r="B19" s="37"/>
      <c r="C19" s="37"/>
      <c r="D19" s="97"/>
      <c r="E19" s="90"/>
      <c r="F19" s="97"/>
      <c r="G19" s="4"/>
      <c r="H19" s="4"/>
      <c r="I19" s="4"/>
      <c r="J19" s="4"/>
    </row>
    <row r="20" spans="1:10" ht="15.5">
      <c r="A20" s="37" t="s">
        <v>64</v>
      </c>
      <c r="B20" s="37"/>
      <c r="C20" s="37"/>
      <c r="D20" s="100">
        <f>SUM(D13:D19)</f>
        <v>813191</v>
      </c>
      <c r="E20" s="91"/>
      <c r="F20" s="100">
        <f>SUM(F13:F19)</f>
        <v>824355</v>
      </c>
      <c r="G20" s="37" t="s">
        <v>14</v>
      </c>
      <c r="H20" s="4"/>
      <c r="I20" s="4"/>
      <c r="J20" s="4"/>
    </row>
    <row r="21" spans="1:10" ht="15.5">
      <c r="A21" s="37"/>
      <c r="B21" s="37"/>
      <c r="C21" s="37"/>
      <c r="D21" s="97"/>
      <c r="E21" s="90"/>
      <c r="F21" s="95"/>
      <c r="G21" s="4"/>
      <c r="H21" s="4"/>
      <c r="I21" s="4"/>
      <c r="J21" s="4"/>
    </row>
    <row r="22" spans="1:10" ht="15.5">
      <c r="A22" s="37" t="s">
        <v>65</v>
      </c>
      <c r="B22" s="37"/>
      <c r="C22" s="37"/>
      <c r="D22" s="100">
        <f>+D10-D20</f>
        <v>67938</v>
      </c>
      <c r="E22" s="91"/>
      <c r="F22" s="96">
        <f>+F10-F20</f>
        <v>56774</v>
      </c>
      <c r="G22" s="36" t="s">
        <v>15</v>
      </c>
      <c r="H22" s="36"/>
      <c r="I22" s="36"/>
      <c r="J22" s="36"/>
    </row>
    <row r="23" spans="1:10" ht="15.5">
      <c r="A23" s="37"/>
      <c r="B23" s="37"/>
      <c r="C23" s="37"/>
      <c r="D23" s="97"/>
      <c r="E23" s="90"/>
      <c r="F23" s="98"/>
      <c r="G23" s="4"/>
      <c r="H23" s="4"/>
      <c r="I23" s="4"/>
      <c r="J23" s="4"/>
    </row>
    <row r="24" spans="1:10" ht="15.5">
      <c r="A24" s="37" t="s">
        <v>66</v>
      </c>
      <c r="B24" s="37"/>
      <c r="C24" s="37"/>
      <c r="D24" s="101">
        <f>+D22*0.21*-1</f>
        <v>-14266.98</v>
      </c>
      <c r="E24" s="90"/>
      <c r="F24" s="98"/>
      <c r="G24" s="4"/>
      <c r="H24" s="4"/>
      <c r="I24" s="4"/>
      <c r="J24" s="4"/>
    </row>
    <row r="25" spans="1:10" ht="15.5">
      <c r="A25" s="37"/>
      <c r="B25" s="37"/>
      <c r="C25" s="37"/>
      <c r="D25" s="97"/>
      <c r="E25" s="90"/>
      <c r="F25" s="98"/>
      <c r="G25" s="4"/>
      <c r="H25" s="4"/>
      <c r="I25" s="4"/>
      <c r="J25" s="4"/>
    </row>
    <row r="26" spans="1:10" ht="15.5">
      <c r="A26" s="37" t="s">
        <v>12</v>
      </c>
      <c r="B26" s="37"/>
      <c r="C26" s="9" t="s">
        <v>6</v>
      </c>
      <c r="D26" s="97">
        <v>-18236</v>
      </c>
      <c r="E26" s="90"/>
      <c r="F26" s="171">
        <f>+D26</f>
        <v>-18236</v>
      </c>
      <c r="G26" s="4"/>
      <c r="H26" s="4"/>
      <c r="I26" s="4"/>
      <c r="J26" s="4"/>
    </row>
    <row r="27" spans="1:10" ht="15.5">
      <c r="A27" s="37"/>
      <c r="B27" s="37"/>
      <c r="C27" s="37"/>
      <c r="D27" s="203"/>
      <c r="E27" s="90"/>
      <c r="F27" s="98"/>
      <c r="G27" s="4"/>
      <c r="H27" s="4"/>
      <c r="I27" s="4"/>
      <c r="J27" s="4"/>
    </row>
    <row r="28" spans="1:10" ht="16" thickBot="1">
      <c r="A28" s="37" t="s">
        <v>67</v>
      </c>
      <c r="B28" s="37"/>
      <c r="C28" s="37"/>
      <c r="D28" s="92">
        <f>+D22+D24+D26</f>
        <v>35435.020000000004</v>
      </c>
      <c r="E28" s="92"/>
      <c r="F28" s="99">
        <f>+F22+F26</f>
        <v>38538</v>
      </c>
      <c r="G28" s="36" t="s">
        <v>67</v>
      </c>
      <c r="H28" s="4"/>
      <c r="I28" s="4"/>
      <c r="J28" s="4"/>
    </row>
    <row r="29" spans="1:10" ht="15" thickTop="1">
      <c r="A29" s="4"/>
      <c r="B29" s="4"/>
      <c r="C29" s="4"/>
      <c r="D29" s="4"/>
      <c r="E29" s="4"/>
      <c r="F29" s="4"/>
      <c r="G29" s="4"/>
      <c r="H29" s="4"/>
      <c r="I29" s="4"/>
      <c r="J29" s="4"/>
    </row>
    <row r="30" spans="1:5" ht="15.5">
      <c r="A30" s="37" t="s">
        <v>288</v>
      </c>
      <c r="B30" s="30"/>
      <c r="C30" s="30"/>
      <c r="D30" s="30"/>
      <c r="E30" s="30"/>
    </row>
    <row r="31" ht="15.5">
      <c r="A31" s="37" t="s">
        <v>264</v>
      </c>
    </row>
    <row r="32" ht="15.5">
      <c r="A32" s="37" t="s">
        <v>265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32"/>
  <sheetViews>
    <sheetView workbookViewId="0" topLeftCell="A1">
      <selection pane="topLeft" activeCell="N14" sqref="N14"/>
    </sheetView>
  </sheetViews>
  <sheetFormatPr defaultRowHeight="15"/>
  <cols>
    <col min="1" max="1" width="38.5714285714286" bestFit="1" customWidth="1"/>
    <col min="2" max="2" width="7.85714285714286" customWidth="1"/>
    <col min="3" max="3" width="9.14285714285714" hidden="1" customWidth="1"/>
    <col min="4" max="4" width="19" style="29" customWidth="1"/>
    <col min="5" max="5" width="5.14285714285714" customWidth="1"/>
    <col min="6" max="6" width="19" style="1" customWidth="1"/>
    <col min="12" max="12" width="10.7142857142857" bestFit="1" customWidth="1"/>
    <col min="13" max="13" width="11.5714285714286" bestFit="1" customWidth="1"/>
    <col min="14" max="14" width="10" bestFit="1" customWidth="1"/>
  </cols>
  <sheetData>
    <row r="1" spans="4:6" ht="15.5">
      <c r="D1" s="104" t="s">
        <v>70</v>
      </c>
      <c r="F1" s="8" t="s">
        <v>68</v>
      </c>
    </row>
    <row r="2" spans="4:6" ht="15.5">
      <c r="D2" s="104" t="s">
        <v>71</v>
      </c>
      <c r="F2" s="8" t="s">
        <v>74</v>
      </c>
    </row>
    <row r="3" ht="15" thickBot="1"/>
    <row r="4" spans="1:10" ht="16" thickTop="1">
      <c r="A4" s="37" t="s">
        <v>2</v>
      </c>
      <c r="B4" s="37"/>
      <c r="C4" s="37"/>
      <c r="D4" s="88" t="s">
        <v>1</v>
      </c>
      <c r="E4" s="88"/>
      <c r="F4" s="93" t="s">
        <v>1</v>
      </c>
      <c r="G4" s="4"/>
      <c r="H4" s="4"/>
      <c r="I4" s="4"/>
      <c r="J4" s="4"/>
    </row>
    <row r="5" spans="1:10" ht="15.5">
      <c r="A5" s="37"/>
      <c r="B5" s="37"/>
      <c r="C5" s="37"/>
      <c r="D5" s="109">
        <v>2022</v>
      </c>
      <c r="E5" s="107"/>
      <c r="F5" s="108">
        <v>2022</v>
      </c>
      <c r="G5" s="4"/>
      <c r="H5" s="4"/>
      <c r="I5" s="4"/>
      <c r="J5" s="4"/>
    </row>
    <row r="6" spans="1:10" ht="15.5">
      <c r="A6" s="37"/>
      <c r="B6" s="37"/>
      <c r="C6" s="37"/>
      <c r="D6" s="110"/>
      <c r="E6" s="89"/>
      <c r="F6" s="103"/>
      <c r="G6" s="4"/>
      <c r="H6" s="4"/>
      <c r="I6" s="4"/>
      <c r="J6" s="4"/>
    </row>
    <row r="7" spans="1:10" ht="15.5">
      <c r="A7" s="37" t="s">
        <v>3</v>
      </c>
      <c r="B7" s="37"/>
      <c r="C7" s="37"/>
      <c r="D7" s="97">
        <v>802430</v>
      </c>
      <c r="E7" s="90"/>
      <c r="F7" s="95">
        <v>802430</v>
      </c>
      <c r="G7" s="37" t="s">
        <v>3</v>
      </c>
      <c r="H7" s="4"/>
      <c r="I7" s="4"/>
      <c r="J7" s="4"/>
    </row>
    <row r="8" spans="1:10" ht="15.5">
      <c r="A8" s="37" t="s">
        <v>4</v>
      </c>
      <c r="B8" s="37"/>
      <c r="C8" s="37"/>
      <c r="D8" s="97">
        <v>10147</v>
      </c>
      <c r="E8" s="90"/>
      <c r="F8" s="95">
        <v>10147</v>
      </c>
      <c r="G8" s="37" t="s">
        <v>4</v>
      </c>
      <c r="H8" s="4"/>
      <c r="I8" s="4"/>
      <c r="J8" s="4"/>
    </row>
    <row r="9" spans="1:10" ht="15.5">
      <c r="A9" s="37" t="s">
        <v>75</v>
      </c>
      <c r="B9" s="37"/>
      <c r="C9" s="37"/>
      <c r="D9" s="97">
        <v>12000</v>
      </c>
      <c r="E9" s="90"/>
      <c r="F9" s="95"/>
      <c r="G9" s="37"/>
      <c r="H9" s="4"/>
      <c r="I9" s="4"/>
      <c r="J9" s="4"/>
    </row>
    <row r="10" spans="1:10" ht="15.5">
      <c r="A10" s="37" t="s">
        <v>5</v>
      </c>
      <c r="B10" s="37"/>
      <c r="C10" s="9" t="s">
        <v>6</v>
      </c>
      <c r="D10" s="100">
        <f>SUM(D7:D9)</f>
        <v>824577</v>
      </c>
      <c r="E10" s="91"/>
      <c r="F10" s="96">
        <f>SUM(F7:F9)</f>
        <v>812577</v>
      </c>
      <c r="G10" s="37" t="s">
        <v>5</v>
      </c>
      <c r="H10" s="4"/>
      <c r="I10" s="4"/>
      <c r="J10" s="4"/>
    </row>
    <row r="11" spans="1:10" ht="15.5">
      <c r="A11" s="37"/>
      <c r="B11" s="37"/>
      <c r="C11" s="37"/>
      <c r="D11" s="97"/>
      <c r="E11" s="90"/>
      <c r="F11" s="95"/>
      <c r="G11" s="4"/>
      <c r="H11" s="4"/>
      <c r="I11" s="4"/>
      <c r="J11" s="4"/>
    </row>
    <row r="12" spans="1:10" ht="15.5">
      <c r="A12" s="37" t="s">
        <v>7</v>
      </c>
      <c r="B12" s="37"/>
      <c r="C12" s="37"/>
      <c r="D12" s="97"/>
      <c r="E12" s="90"/>
      <c r="F12" s="97"/>
      <c r="G12" s="37" t="s">
        <v>7</v>
      </c>
      <c r="H12" s="4"/>
      <c r="I12" s="4"/>
      <c r="J12" s="4"/>
    </row>
    <row r="13" spans="1:10" ht="15.5">
      <c r="A13" s="37" t="s">
        <v>8</v>
      </c>
      <c r="B13" s="37"/>
      <c r="C13" s="37"/>
      <c r="D13" s="97">
        <v>829531</v>
      </c>
      <c r="E13" s="90"/>
      <c r="F13" s="97">
        <v>829531</v>
      </c>
      <c r="G13" s="37" t="s">
        <v>8</v>
      </c>
      <c r="H13" s="4"/>
      <c r="I13" s="4"/>
      <c r="J13" s="4"/>
    </row>
    <row r="14" spans="1:10" ht="15.5">
      <c r="A14" s="37" t="s">
        <v>9</v>
      </c>
      <c r="B14" s="37"/>
      <c r="C14" s="37"/>
      <c r="D14" s="97">
        <v>110417</v>
      </c>
      <c r="E14" s="90"/>
      <c r="F14" s="97">
        <v>110416.78</v>
      </c>
      <c r="G14" s="37" t="s">
        <v>9</v>
      </c>
      <c r="H14" s="4"/>
      <c r="I14" s="4"/>
      <c r="J14" s="4"/>
    </row>
    <row r="15" spans="1:10" ht="15.5">
      <c r="A15" s="37" t="s">
        <v>10</v>
      </c>
      <c r="B15" s="37"/>
      <c r="C15" s="37"/>
      <c r="D15" s="97">
        <v>0</v>
      </c>
      <c r="E15" s="90"/>
      <c r="F15" s="97">
        <v>0</v>
      </c>
      <c r="G15" s="37" t="s">
        <v>10</v>
      </c>
      <c r="H15" s="4"/>
      <c r="I15" s="4"/>
      <c r="J15" s="4"/>
    </row>
    <row r="16" spans="1:13" ht="15.5">
      <c r="A16" s="37" t="s">
        <v>11</v>
      </c>
      <c r="B16" s="37"/>
      <c r="C16" s="37"/>
      <c r="D16" s="97">
        <v>30434</v>
      </c>
      <c r="E16" s="90"/>
      <c r="F16" s="97">
        <v>30434</v>
      </c>
      <c r="G16" s="37" t="s">
        <v>11</v>
      </c>
      <c r="H16" s="4"/>
      <c r="I16" s="4"/>
      <c r="J16" s="4"/>
      <c r="L16" s="113"/>
      <c r="M16" s="113"/>
    </row>
    <row r="17" spans="1:13" ht="15.5">
      <c r="A17" s="37"/>
      <c r="B17" s="37"/>
      <c r="C17" s="37"/>
      <c r="D17" s="97"/>
      <c r="E17" s="90"/>
      <c r="F17" s="101">
        <v>39985</v>
      </c>
      <c r="G17" s="37" t="s">
        <v>13</v>
      </c>
      <c r="H17" s="4"/>
      <c r="I17" s="4"/>
      <c r="J17" s="4"/>
      <c r="M17" s="113"/>
    </row>
    <row r="18" spans="1:14" ht="15.5">
      <c r="A18" s="37" t="s">
        <v>12</v>
      </c>
      <c r="B18" s="37"/>
      <c r="C18" s="37"/>
      <c r="D18" s="97">
        <v>5644</v>
      </c>
      <c r="E18" s="90"/>
      <c r="F18" s="97"/>
      <c r="G18" s="4"/>
      <c r="H18" s="4"/>
      <c r="I18" s="4"/>
      <c r="J18" s="4"/>
      <c r="L18" s="2"/>
      <c r="N18" s="2"/>
    </row>
    <row r="19" spans="1:14" ht="15.5">
      <c r="A19" s="37"/>
      <c r="B19" s="37"/>
      <c r="C19" s="37"/>
      <c r="D19" s="97"/>
      <c r="E19" s="90"/>
      <c r="F19" s="97"/>
      <c r="G19" s="4"/>
      <c r="H19" s="4"/>
      <c r="I19" s="4"/>
      <c r="J19" s="4"/>
      <c r="N19" s="2"/>
    </row>
    <row r="20" spans="1:13" ht="15.5">
      <c r="A20" s="37" t="s">
        <v>64</v>
      </c>
      <c r="B20" s="37"/>
      <c r="C20" s="37"/>
      <c r="D20" s="100">
        <f>SUM(D13:D19)</f>
        <v>976026</v>
      </c>
      <c r="E20" s="91"/>
      <c r="F20" s="100">
        <f>SUM(F13:F19)</f>
        <v>1010366.78</v>
      </c>
      <c r="G20" s="37" t="s">
        <v>14</v>
      </c>
      <c r="H20" s="4"/>
      <c r="I20" s="4"/>
      <c r="J20" s="4"/>
      <c r="L20" s="2"/>
      <c r="M20" s="2"/>
    </row>
    <row r="21" spans="1:13" ht="15.5">
      <c r="A21" s="37"/>
      <c r="B21" s="37"/>
      <c r="C21" s="37"/>
      <c r="D21" s="97"/>
      <c r="E21" s="90"/>
      <c r="F21" s="95"/>
      <c r="G21" s="4"/>
      <c r="H21" s="4"/>
      <c r="I21" s="4"/>
      <c r="J21" s="4"/>
      <c r="M21" s="2"/>
    </row>
    <row r="22" spans="1:10" ht="15.5">
      <c r="A22" s="37" t="s">
        <v>65</v>
      </c>
      <c r="B22" s="37"/>
      <c r="C22" s="37"/>
      <c r="D22" s="100">
        <f>+D10-D20</f>
        <v>-151449</v>
      </c>
      <c r="E22" s="91"/>
      <c r="F22" s="96">
        <f>+F10-F20</f>
        <v>-197789.78000000003</v>
      </c>
      <c r="G22" s="36" t="s">
        <v>15</v>
      </c>
      <c r="H22" s="36"/>
      <c r="I22" s="36"/>
      <c r="J22" s="36"/>
    </row>
    <row r="23" spans="1:13" ht="15.5">
      <c r="A23" s="37"/>
      <c r="B23" s="37"/>
      <c r="C23" s="37"/>
      <c r="D23" s="97"/>
      <c r="E23" s="90"/>
      <c r="F23" s="95"/>
      <c r="G23" s="4"/>
      <c r="H23" s="4"/>
      <c r="I23" s="4"/>
      <c r="J23" s="4"/>
      <c r="M23" s="2"/>
    </row>
    <row r="24" spans="1:10" ht="15.5">
      <c r="A24" s="37" t="s">
        <v>66</v>
      </c>
      <c r="B24" s="37"/>
      <c r="C24" s="37"/>
      <c r="D24" s="101">
        <v>0</v>
      </c>
      <c r="E24" s="90"/>
      <c r="F24" s="95"/>
      <c r="G24" s="4"/>
      <c r="H24" s="4"/>
      <c r="I24" s="4"/>
      <c r="J24" s="4"/>
    </row>
    <row r="25" spans="1:10" ht="15.5">
      <c r="A25" s="37" t="s">
        <v>75</v>
      </c>
      <c r="B25" s="37"/>
      <c r="C25" s="37"/>
      <c r="D25" s="97">
        <v>0</v>
      </c>
      <c r="E25" s="90"/>
      <c r="F25" s="95">
        <v>12000</v>
      </c>
      <c r="G25" s="4"/>
      <c r="H25" s="4"/>
      <c r="I25" s="4"/>
      <c r="J25" s="4"/>
    </row>
    <row r="26" spans="1:13" ht="15.5">
      <c r="A26" s="37" t="s">
        <v>12</v>
      </c>
      <c r="B26" s="37"/>
      <c r="C26" s="9" t="s">
        <v>6</v>
      </c>
      <c r="D26" s="97">
        <v>-5644</v>
      </c>
      <c r="E26" s="90"/>
      <c r="F26" s="95">
        <v>-5644</v>
      </c>
      <c r="G26" s="4"/>
      <c r="H26" s="4"/>
      <c r="I26" s="4"/>
      <c r="J26" s="4"/>
      <c r="M26" s="2"/>
    </row>
    <row r="27" spans="1:10" ht="15.5">
      <c r="A27" s="37"/>
      <c r="B27" s="37"/>
      <c r="C27" s="37"/>
      <c r="D27" s="97"/>
      <c r="E27" s="90"/>
      <c r="F27" s="95"/>
      <c r="G27" s="4"/>
      <c r="H27" s="4"/>
      <c r="I27" s="4"/>
      <c r="J27" s="4"/>
    </row>
    <row r="28" spans="1:10" ht="16" thickBot="1">
      <c r="A28" s="37" t="s">
        <v>67</v>
      </c>
      <c r="B28" s="37"/>
      <c r="C28" s="37"/>
      <c r="D28" s="111">
        <f>+D22+D24+D26</f>
        <v>-157093</v>
      </c>
      <c r="E28" s="92"/>
      <c r="F28" s="112">
        <f>SUM(F22:F27)</f>
        <v>-191433.78000000003</v>
      </c>
      <c r="G28" s="36" t="s">
        <v>67</v>
      </c>
      <c r="H28" s="4"/>
      <c r="I28" s="4"/>
      <c r="J28" s="4"/>
    </row>
    <row r="29" spans="1:10" ht="15" thickTop="1">
      <c r="A29" s="4"/>
      <c r="B29" s="4"/>
      <c r="C29" s="4"/>
      <c r="D29" s="105"/>
      <c r="E29" s="4"/>
      <c r="F29" s="5"/>
      <c r="G29" s="4"/>
      <c r="H29" s="4"/>
      <c r="I29" s="4"/>
      <c r="J29" s="4"/>
    </row>
    <row r="30" spans="1:5" ht="15.5">
      <c r="A30" s="37" t="s">
        <v>76</v>
      </c>
      <c r="B30" s="30"/>
      <c r="C30" s="30"/>
      <c r="D30" s="106"/>
      <c r="E30" s="30"/>
    </row>
    <row r="31" ht="15.5">
      <c r="A31" s="37" t="s">
        <v>77</v>
      </c>
    </row>
    <row r="32" ht="15.5">
      <c r="A32" s="37" t="s">
        <v>78</v>
      </c>
    </row>
  </sheetData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N35"/>
  <sheetViews>
    <sheetView workbookViewId="0" topLeftCell="A1">
      <selection pane="topLeft" activeCell="P13" sqref="P13"/>
    </sheetView>
  </sheetViews>
  <sheetFormatPr defaultRowHeight="15"/>
  <cols>
    <col min="2" max="3" width="12.2857142857143" bestFit="1" customWidth="1"/>
    <col min="4" max="4" width="15.2857142857143" customWidth="1"/>
    <col min="5" max="5" width="15.7142857142857" bestFit="1" customWidth="1"/>
    <col min="6" max="6" width="14.4285714285714" bestFit="1" customWidth="1"/>
    <col min="7" max="8" width="15.7142857142857" bestFit="1" customWidth="1"/>
    <col min="9" max="9" width="14.4285714285714" bestFit="1" customWidth="1"/>
    <col min="10" max="10" width="13.4285714285714" bestFit="1" customWidth="1"/>
    <col min="12" max="12" width="12.2857142857143" bestFit="1" customWidth="1"/>
  </cols>
  <sheetData>
    <row r="2" ht="15.5">
      <c r="F2" s="6" t="s">
        <v>280</v>
      </c>
    </row>
    <row r="3" ht="15" thickBot="1"/>
    <row r="4" spans="5:10" ht="16" thickTop="1">
      <c r="E4" s="176" t="s">
        <v>1</v>
      </c>
      <c r="F4" s="177" t="s">
        <v>1</v>
      </c>
      <c r="G4" s="177" t="s">
        <v>1</v>
      </c>
      <c r="H4" s="177" t="s">
        <v>1</v>
      </c>
      <c r="I4" s="177" t="s">
        <v>1</v>
      </c>
      <c r="J4" s="178" t="s">
        <v>1</v>
      </c>
    </row>
    <row r="5" spans="3:10" ht="15.5">
      <c r="C5" s="6"/>
      <c r="E5" s="179">
        <v>2017</v>
      </c>
      <c r="F5" s="180">
        <v>2018</v>
      </c>
      <c r="G5" s="180">
        <v>2019</v>
      </c>
      <c r="H5" s="180">
        <v>2020</v>
      </c>
      <c r="I5" s="180">
        <v>2021</v>
      </c>
      <c r="J5" s="181">
        <v>2022</v>
      </c>
    </row>
    <row r="6" spans="5:10" ht="15.5">
      <c r="E6" s="182"/>
      <c r="F6" s="183"/>
      <c r="G6" s="183"/>
      <c r="H6" s="183"/>
      <c r="I6" s="183"/>
      <c r="J6" s="184"/>
    </row>
    <row r="7" spans="2:10" ht="15.5">
      <c r="B7" s="37" t="s">
        <v>279</v>
      </c>
      <c r="C7" s="6"/>
      <c r="D7" s="6"/>
      <c r="E7" s="185">
        <v>52214</v>
      </c>
      <c r="F7" s="186">
        <v>65177</v>
      </c>
      <c r="G7" s="186">
        <v>43370</v>
      </c>
      <c r="H7" s="186">
        <v>26265</v>
      </c>
      <c r="I7" s="186">
        <v>29400</v>
      </c>
      <c r="J7" s="187">
        <v>39986</v>
      </c>
    </row>
    <row r="8" spans="2:10" ht="16" thickBot="1">
      <c r="B8" s="37" t="s">
        <v>277</v>
      </c>
      <c r="C8" s="6"/>
      <c r="D8" s="6"/>
      <c r="E8" s="194">
        <v>43179</v>
      </c>
      <c r="F8" s="195">
        <v>8544</v>
      </c>
      <c r="G8" s="195">
        <v>28811</v>
      </c>
      <c r="H8" s="195">
        <v>28225</v>
      </c>
      <c r="I8" s="195">
        <v>14267</v>
      </c>
      <c r="J8" s="196">
        <v>0</v>
      </c>
    </row>
    <row r="9" spans="5:10" ht="15" thickTop="1">
      <c r="E9" s="191"/>
      <c r="F9" s="192"/>
      <c r="G9" s="192"/>
      <c r="H9" s="192"/>
      <c r="I9" s="192"/>
      <c r="J9" s="193"/>
    </row>
    <row r="10" spans="4:12" ht="16" thickBot="1">
      <c r="D10" s="37" t="s">
        <v>278</v>
      </c>
      <c r="E10" s="188">
        <f>+E7-E8</f>
        <v>9035</v>
      </c>
      <c r="F10" s="189">
        <f t="shared" si="0" ref="F10:J10">+F7-F8</f>
        <v>56633</v>
      </c>
      <c r="G10" s="189">
        <f t="shared" si="0"/>
        <v>14559</v>
      </c>
      <c r="H10" s="189">
        <f t="shared" si="0"/>
        <v>-1960</v>
      </c>
      <c r="I10" s="189">
        <f t="shared" si="0"/>
        <v>15133</v>
      </c>
      <c r="J10" s="190">
        <f t="shared" si="0"/>
        <v>39986</v>
      </c>
      <c r="L10" s="172">
        <f>SUM(E10:K10)</f>
        <v>133386</v>
      </c>
    </row>
    <row r="11" ht="15" thickTop="1"/>
    <row r="12" spans="5:12" ht="15.5">
      <c r="E12" s="172"/>
      <c r="F12" s="172"/>
      <c r="G12" s="172"/>
      <c r="H12" s="172"/>
      <c r="I12" s="172"/>
      <c r="J12" s="172"/>
      <c r="L12" s="2"/>
    </row>
    <row r="17" spans="2:10" ht="14.5">
      <c r="B17" t="s">
        <v>268</v>
      </c>
      <c r="E17" s="1">
        <v>52214</v>
      </c>
      <c r="F17" s="1">
        <v>65177</v>
      </c>
      <c r="G17" s="1">
        <v>43370</v>
      </c>
      <c r="H17" s="1">
        <v>26265</v>
      </c>
      <c r="I17" s="1">
        <v>29400</v>
      </c>
      <c r="J17" s="1">
        <v>39986</v>
      </c>
    </row>
    <row r="18" spans="5:10" ht="14.5">
      <c r="E18" s="1"/>
      <c r="F18" s="1"/>
      <c r="G18" s="1"/>
      <c r="H18" s="1"/>
      <c r="I18" s="1"/>
      <c r="J18" s="1"/>
    </row>
    <row r="19" spans="2:10" ht="14.5">
      <c r="B19" t="s">
        <v>266</v>
      </c>
      <c r="E19" s="1"/>
      <c r="F19" s="1"/>
      <c r="G19" s="1"/>
      <c r="H19" s="1"/>
      <c r="I19" s="1"/>
      <c r="J19" s="1"/>
    </row>
    <row r="20" spans="2:10" ht="14.5">
      <c r="B20" t="s">
        <v>267</v>
      </c>
      <c r="E20" s="1">
        <v>178630</v>
      </c>
      <c r="F20" s="1">
        <f>+F17*100/21</f>
        <v>310366.66666666669</v>
      </c>
      <c r="G20" s="1">
        <f>+G17*100/21</f>
        <v>206523.80952380953</v>
      </c>
      <c r="H20" s="1">
        <f>+H17*100/21</f>
        <v>125071.42857142857</v>
      </c>
      <c r="I20" s="1">
        <f>+I17*100/21</f>
        <v>140000</v>
      </c>
      <c r="J20" s="1">
        <f>+J17*100/21</f>
        <v>190409.52380952382</v>
      </c>
    </row>
    <row r="22" spans="2:10" ht="14.5">
      <c r="B22" t="s">
        <v>270</v>
      </c>
      <c r="E22" s="1">
        <v>153664</v>
      </c>
      <c r="F22" s="1">
        <v>40687</v>
      </c>
      <c r="G22" s="1">
        <v>137194</v>
      </c>
      <c r="H22" s="1">
        <v>134407</v>
      </c>
      <c r="I22" s="1">
        <v>67938</v>
      </c>
      <c r="J22" s="1">
        <v>-151449</v>
      </c>
    </row>
    <row r="24" spans="5:10" ht="14.5">
      <c r="E24" s="2">
        <f>+E20-E22</f>
        <v>24966</v>
      </c>
      <c r="F24" s="2">
        <f t="shared" si="1" ref="F24:I24">+F20-F22</f>
        <v>269679.66666666669</v>
      </c>
      <c r="G24" s="2">
        <f t="shared" si="1"/>
        <v>69329.809523809527</v>
      </c>
      <c r="H24" s="2">
        <f t="shared" si="1"/>
        <v>-9335.5714285714348</v>
      </c>
      <c r="I24" s="2">
        <f t="shared" si="1"/>
        <v>72062</v>
      </c>
      <c r="J24" s="2">
        <v>190410</v>
      </c>
    </row>
    <row r="27" spans="4:7" ht="15.5">
      <c r="D27" s="37" t="s">
        <v>65</v>
      </c>
      <c r="E27" s="37"/>
      <c r="F27" s="37"/>
      <c r="G27" s="91">
        <f>+G15-G25</f>
        <v>0</v>
      </c>
    </row>
    <row r="28" spans="4:7" ht="15.5">
      <c r="D28" s="37"/>
      <c r="E28" s="37"/>
      <c r="F28" s="37"/>
      <c r="G28" s="90"/>
    </row>
    <row r="29" spans="4:9" ht="15.5">
      <c r="D29" s="37" t="s">
        <v>271</v>
      </c>
      <c r="E29" s="37"/>
      <c r="F29" s="37"/>
      <c r="G29" s="90">
        <f>50000*0.15</f>
        <v>7500</v>
      </c>
      <c r="H29">
        <v>50000</v>
      </c>
      <c r="I29">
        <v>50000</v>
      </c>
    </row>
    <row r="30" spans="4:14" ht="15.5">
      <c r="D30" s="37" t="s">
        <v>272</v>
      </c>
      <c r="E30" s="37"/>
      <c r="F30" s="37"/>
      <c r="G30" s="90">
        <f>25000*0.25</f>
        <v>6250</v>
      </c>
      <c r="H30">
        <v>25000</v>
      </c>
      <c r="I30">
        <v>25000</v>
      </c>
      <c r="N30">
        <v>23166</v>
      </c>
    </row>
    <row r="31" spans="4:14" ht="15.5">
      <c r="D31" s="37" t="s">
        <v>273</v>
      </c>
      <c r="E31" s="37"/>
      <c r="F31" s="37"/>
      <c r="G31" s="90">
        <f>25000*0.34</f>
        <v>8500</v>
      </c>
      <c r="H31">
        <v>25000</v>
      </c>
      <c r="I31">
        <v>25000</v>
      </c>
      <c r="L31">
        <v>903500</v>
      </c>
      <c r="N31">
        <v>53664</v>
      </c>
    </row>
    <row r="32" spans="4:12" ht="15.5">
      <c r="D32" s="37" t="s">
        <v>274</v>
      </c>
      <c r="E32" s="37"/>
      <c r="F32" s="37"/>
      <c r="G32" s="90">
        <f>53664*0.39</f>
        <v>20928.96</v>
      </c>
      <c r="H32">
        <v>78630</v>
      </c>
      <c r="I32">
        <v>29963</v>
      </c>
      <c r="J32" s="90">
        <f>70000*0.39</f>
        <v>27300</v>
      </c>
      <c r="L32">
        <v>0.39</v>
      </c>
    </row>
    <row r="33" ht="14.5">
      <c r="N33">
        <f>SUM(N30:N32)</f>
        <v>76830</v>
      </c>
    </row>
    <row r="34" spans="12:14" ht="14.5">
      <c r="L34">
        <f>+L31/39</f>
        <v>23166.666666666668</v>
      </c>
      <c r="N34">
        <f>+N33*0.39</f>
        <v>29963.70</v>
      </c>
    </row>
    <row r="35" spans="7:9" ht="14.5">
      <c r="G35" s="2">
        <f>SUM(G29:G34)</f>
        <v>43178.96</v>
      </c>
      <c r="H35">
        <f>SUM(H29:H34)</f>
        <v>178630</v>
      </c>
      <c r="I35" s="2">
        <f>SUM(I29:I32)</f>
        <v>129963</v>
      </c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B1:AUF56"/>
  <sheetViews>
    <sheetView workbookViewId="0" topLeftCell="A16">
      <selection pane="topLeft" activeCell="O47" sqref="O47"/>
    </sheetView>
  </sheetViews>
  <sheetFormatPr defaultRowHeight="15"/>
  <cols>
    <col min="2" max="2" width="15.1428571428571" customWidth="1"/>
    <col min="3" max="3" width="14.7142857142857" customWidth="1"/>
    <col min="4" max="4" width="21.2857142857143" customWidth="1"/>
    <col min="5" max="5" width="17.5714285714286" customWidth="1"/>
    <col min="6" max="6" width="13.1428571428571" customWidth="1"/>
    <col min="7" max="7" width="12.7142857142857" hidden="1" customWidth="1"/>
    <col min="8" max="8" width="22.4285714285714" hidden="1" customWidth="1"/>
    <col min="9" max="9" width="17.7142857142857" hidden="1" customWidth="1"/>
    <col min="10" max="11" width="23" hidden="1" customWidth="1"/>
    <col min="12" max="12" width="14.5714285714286" customWidth="1"/>
    <col min="13" max="13" width="11.2857142857143" customWidth="1"/>
    <col min="14" max="14" width="12.4285714285714" customWidth="1"/>
    <col min="15" max="15" width="15.1428571428571" customWidth="1"/>
  </cols>
  <sheetData>
    <row r="1" ht="14.5">
      <c r="B1" t="s">
        <v>16</v>
      </c>
    </row>
    <row r="2" ht="14.5">
      <c r="B2" t="s">
        <v>17</v>
      </c>
    </row>
    <row r="3" s="30" customFormat="1" ht="14.5">
      <c r="B3" s="30" t="s">
        <v>18</v>
      </c>
    </row>
    <row r="4" ht="14.5">
      <c r="B4" t="s">
        <v>19</v>
      </c>
    </row>
    <row r="5" spans="2:9" ht="14.5">
      <c r="B5" t="s">
        <v>20</v>
      </c>
      <c r="G5">
        <f>F13+F14</f>
        <v>151.25</v>
      </c>
      <c r="H5">
        <f>F13</f>
        <v>22.50</v>
      </c>
      <c r="I5" s="31">
        <f t="shared" si="0" ref="I5:I11">H5/G5</f>
        <v>0.1487603305785124</v>
      </c>
    </row>
    <row r="6" spans="2:9" ht="14.5">
      <c r="B6" t="s">
        <v>21</v>
      </c>
      <c r="G6">
        <f>F19+F20</f>
        <v>1378.50</v>
      </c>
      <c r="H6">
        <f>F19</f>
        <v>649.50</v>
      </c>
      <c r="I6" s="31">
        <f t="shared" si="0"/>
        <v>0.47116430903155604</v>
      </c>
    </row>
    <row r="7" spans="7:9" ht="15" thickBot="1">
      <c r="G7">
        <f>F23+F24</f>
        <v>1928.7800000000002</v>
      </c>
      <c r="H7">
        <f>F23</f>
        <v>950.83</v>
      </c>
      <c r="I7" s="31">
        <f t="shared" si="0"/>
        <v>0.49296964920830783</v>
      </c>
    </row>
    <row r="8" spans="2:15" ht="19" thickTop="1">
      <c r="B8" s="40" t="s">
        <v>57</v>
      </c>
      <c r="C8" s="41"/>
      <c r="D8" s="41"/>
      <c r="E8" s="42" t="s">
        <v>225</v>
      </c>
      <c r="F8" s="43"/>
      <c r="G8" s="43">
        <f>F25+F26</f>
        <v>1850</v>
      </c>
      <c r="H8" s="43">
        <f>F25</f>
        <v>1022.25</v>
      </c>
      <c r="I8" s="44">
        <f t="shared" si="0"/>
        <v>0.55256756756756753</v>
      </c>
      <c r="J8" s="43"/>
      <c r="K8" s="43"/>
      <c r="L8" s="43"/>
      <c r="M8" s="43"/>
      <c r="N8" s="43"/>
      <c r="O8" s="45"/>
    </row>
    <row r="9" spans="2:15" ht="18.5">
      <c r="B9" s="46"/>
      <c r="C9" s="47"/>
      <c r="D9" s="47"/>
      <c r="E9" s="48"/>
      <c r="F9" s="49"/>
      <c r="G9" s="49"/>
      <c r="H9" s="49"/>
      <c r="I9" s="50"/>
      <c r="J9" s="49"/>
      <c r="K9" s="49"/>
      <c r="L9" s="49"/>
      <c r="M9" s="49"/>
      <c r="N9" s="49"/>
      <c r="O9" s="51"/>
    </row>
    <row r="10" spans="2:16" ht="18">
      <c r="B10" s="54"/>
      <c r="C10" s="55"/>
      <c r="D10" s="55"/>
      <c r="E10" s="55"/>
      <c r="F10" s="56"/>
      <c r="G10" s="56">
        <f>F44+F45</f>
        <v>0</v>
      </c>
      <c r="H10" s="56">
        <f>F44</f>
        <v>0</v>
      </c>
      <c r="I10" s="64" t="e">
        <f t="shared" si="0"/>
        <v>#DIV/0!</v>
      </c>
      <c r="J10" s="56"/>
      <c r="K10" s="56"/>
      <c r="L10" s="56" t="s">
        <v>50</v>
      </c>
      <c r="M10" s="55"/>
      <c r="N10" s="55"/>
      <c r="O10" s="60"/>
      <c r="P10" s="39"/>
    </row>
    <row r="11" spans="2:16" ht="18">
      <c r="B11" s="65" t="s">
        <v>53</v>
      </c>
      <c r="C11" s="56" t="s">
        <v>54</v>
      </c>
      <c r="D11" s="56" t="s">
        <v>56</v>
      </c>
      <c r="E11" s="55"/>
      <c r="F11" s="56" t="s">
        <v>58</v>
      </c>
      <c r="G11" s="56">
        <f>F47+F48</f>
        <v>0</v>
      </c>
      <c r="H11" s="56">
        <f>F47</f>
        <v>0</v>
      </c>
      <c r="I11" s="64" t="e">
        <f t="shared" si="0"/>
        <v>#DIV/0!</v>
      </c>
      <c r="J11" s="56"/>
      <c r="K11" s="56"/>
      <c r="L11" s="56" t="s">
        <v>51</v>
      </c>
      <c r="M11" s="55"/>
      <c r="N11" s="56" t="s">
        <v>47</v>
      </c>
      <c r="O11" s="57" t="s">
        <v>49</v>
      </c>
      <c r="P11" s="39"/>
    </row>
    <row r="12" spans="2:16" ht="18.5" thickBot="1">
      <c r="B12" s="70" t="s">
        <v>52</v>
      </c>
      <c r="C12" s="71" t="s">
        <v>55</v>
      </c>
      <c r="D12" s="71" t="s">
        <v>55</v>
      </c>
      <c r="E12" s="72" t="s">
        <v>22</v>
      </c>
      <c r="F12" s="71" t="s">
        <v>48</v>
      </c>
      <c r="G12" s="71" t="s">
        <v>23</v>
      </c>
      <c r="H12" s="71" t="s">
        <v>24</v>
      </c>
      <c r="I12" s="71" t="s">
        <v>25</v>
      </c>
      <c r="J12" s="71" t="s">
        <v>26</v>
      </c>
      <c r="K12" s="71" t="s">
        <v>27</v>
      </c>
      <c r="L12" s="71" t="s">
        <v>48</v>
      </c>
      <c r="M12" s="72"/>
      <c r="N12" s="71" t="s">
        <v>48</v>
      </c>
      <c r="O12" s="73" t="s">
        <v>48</v>
      </c>
      <c r="P12" s="39"/>
    </row>
    <row r="13" spans="2:16" ht="18" thickTop="1">
      <c r="B13" s="74">
        <v>10290</v>
      </c>
      <c r="C13" s="75" t="s">
        <v>28</v>
      </c>
      <c r="D13" s="75" t="s">
        <v>29</v>
      </c>
      <c r="E13" s="83" t="s">
        <v>30</v>
      </c>
      <c r="F13" s="67">
        <v>22.50</v>
      </c>
      <c r="G13" s="67" t="s">
        <v>31</v>
      </c>
      <c r="H13" s="67" t="s">
        <v>31</v>
      </c>
      <c r="I13" s="67">
        <v>8</v>
      </c>
      <c r="J13" s="67" t="s">
        <v>31</v>
      </c>
      <c r="K13" s="67" t="s">
        <v>31</v>
      </c>
      <c r="L13" s="67" t="s">
        <v>31</v>
      </c>
      <c r="M13" s="67"/>
      <c r="N13" s="68">
        <f>+F13</f>
        <v>22.50</v>
      </c>
      <c r="O13" s="69"/>
      <c r="P13" s="39"/>
    </row>
    <row r="14" spans="2:16" ht="17.5">
      <c r="B14" s="54">
        <v>10290</v>
      </c>
      <c r="C14" s="55" t="s">
        <v>28</v>
      </c>
      <c r="D14" s="55" t="s">
        <v>29</v>
      </c>
      <c r="E14" s="53" t="s">
        <v>32</v>
      </c>
      <c r="F14" s="53">
        <v>128.75</v>
      </c>
      <c r="G14" s="53" t="s">
        <v>31</v>
      </c>
      <c r="H14" s="53" t="s">
        <v>31</v>
      </c>
      <c r="I14" s="53" t="s">
        <v>31</v>
      </c>
      <c r="J14" s="53" t="s">
        <v>31</v>
      </c>
      <c r="K14" s="53" t="s">
        <v>31</v>
      </c>
      <c r="L14" s="53" t="s">
        <v>31</v>
      </c>
      <c r="M14" s="53"/>
      <c r="N14" s="58"/>
      <c r="O14" s="59">
        <f>+F14</f>
        <v>128.75</v>
      </c>
      <c r="P14" s="39"/>
    </row>
    <row r="15" spans="2:16" ht="17.5">
      <c r="B15" s="54">
        <v>10273</v>
      </c>
      <c r="C15" s="55" t="s">
        <v>33</v>
      </c>
      <c r="D15" s="55" t="s">
        <v>34</v>
      </c>
      <c r="E15" s="53" t="s">
        <v>32</v>
      </c>
      <c r="F15" s="53">
        <v>71</v>
      </c>
      <c r="G15" s="53" t="s">
        <v>31</v>
      </c>
      <c r="H15" s="53" t="s">
        <v>31</v>
      </c>
      <c r="I15" s="53" t="s">
        <v>31</v>
      </c>
      <c r="J15" s="53" t="s">
        <v>31</v>
      </c>
      <c r="K15" s="53" t="s">
        <v>31</v>
      </c>
      <c r="L15" s="53" t="s">
        <v>31</v>
      </c>
      <c r="M15" s="53"/>
      <c r="N15" s="58"/>
      <c r="O15" s="59">
        <f>+F15</f>
        <v>71</v>
      </c>
      <c r="P15" s="39"/>
    </row>
    <row r="16" spans="2:1228" s="32" customFormat="1" ht="17.5">
      <c r="B16" s="54">
        <v>10273</v>
      </c>
      <c r="C16" s="55" t="s">
        <v>33</v>
      </c>
      <c r="D16" s="55" t="s">
        <v>34</v>
      </c>
      <c r="E16" s="84" t="s">
        <v>30</v>
      </c>
      <c r="F16" s="53">
        <v>193</v>
      </c>
      <c r="G16" s="53" t="s">
        <v>31</v>
      </c>
      <c r="H16" s="53" t="s">
        <v>31</v>
      </c>
      <c r="I16" s="53" t="s">
        <v>31</v>
      </c>
      <c r="J16" s="53" t="s">
        <v>31</v>
      </c>
      <c r="K16" s="53" t="s">
        <v>31</v>
      </c>
      <c r="L16" s="53">
        <v>5</v>
      </c>
      <c r="M16" s="53"/>
      <c r="N16" s="58">
        <f>+F16+L16</f>
        <v>198</v>
      </c>
      <c r="O16" s="59"/>
      <c r="P16" s="39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</row>
    <row r="17" spans="2:1228" s="32" customFormat="1" ht="17.5">
      <c r="B17" s="54">
        <v>2891</v>
      </c>
      <c r="C17" s="55" t="s">
        <v>35</v>
      </c>
      <c r="D17" s="55" t="s">
        <v>36</v>
      </c>
      <c r="E17" s="84" t="s">
        <v>30</v>
      </c>
      <c r="F17" s="53">
        <v>336</v>
      </c>
      <c r="G17" s="53" t="s">
        <v>31</v>
      </c>
      <c r="H17" s="53">
        <v>24</v>
      </c>
      <c r="I17" s="53" t="s">
        <v>31</v>
      </c>
      <c r="J17" s="53" t="s">
        <v>31</v>
      </c>
      <c r="K17" s="53">
        <v>142.38999999999999</v>
      </c>
      <c r="L17" s="53">
        <v>3.50</v>
      </c>
      <c r="M17" s="53"/>
      <c r="N17" s="58">
        <f>+F17+L17</f>
        <v>339.50</v>
      </c>
      <c r="O17" s="59"/>
      <c r="P17" s="39"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</row>
    <row r="18" spans="2:1228" s="33" customFormat="1" ht="17.5">
      <c r="B18" s="54">
        <v>2891</v>
      </c>
      <c r="C18" s="55" t="s">
        <v>35</v>
      </c>
      <c r="D18" s="55" t="s">
        <v>36</v>
      </c>
      <c r="E18" s="53" t="s">
        <v>32</v>
      </c>
      <c r="F18" s="53">
        <v>153.50</v>
      </c>
      <c r="G18" s="53" t="s">
        <v>31</v>
      </c>
      <c r="H18" s="53" t="s">
        <v>31</v>
      </c>
      <c r="I18" s="53" t="s">
        <v>31</v>
      </c>
      <c r="J18" s="53" t="s">
        <v>31</v>
      </c>
      <c r="K18" s="53" t="s">
        <v>31</v>
      </c>
      <c r="L18" s="53">
        <v>8.50</v>
      </c>
      <c r="M18" s="53"/>
      <c r="N18" s="58"/>
      <c r="O18" s="59">
        <f>+L18+F18</f>
        <v>162</v>
      </c>
      <c r="P18" s="39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</row>
    <row r="19" spans="2:1228" s="33" customFormat="1" ht="17.5">
      <c r="B19" s="54">
        <v>10223</v>
      </c>
      <c r="C19" s="55" t="s">
        <v>37</v>
      </c>
      <c r="D19" s="55" t="s">
        <v>38</v>
      </c>
      <c r="E19" s="53" t="s">
        <v>32</v>
      </c>
      <c r="F19" s="53">
        <v>649.50</v>
      </c>
      <c r="G19" s="53">
        <v>9</v>
      </c>
      <c r="H19" s="53">
        <v>24</v>
      </c>
      <c r="I19" s="53">
        <v>32</v>
      </c>
      <c r="J19" s="53" t="s">
        <v>31</v>
      </c>
      <c r="K19" s="53" t="s">
        <v>31</v>
      </c>
      <c r="L19" s="53">
        <v>42.50</v>
      </c>
      <c r="M19" s="53"/>
      <c r="N19" s="58"/>
      <c r="O19" s="59">
        <f>+L19+F19</f>
        <v>692</v>
      </c>
      <c r="P19" s="3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</row>
    <row r="20" spans="2:1228" s="32" customFormat="1" ht="17.5">
      <c r="B20" s="54">
        <v>10223</v>
      </c>
      <c r="C20" s="55" t="s">
        <v>37</v>
      </c>
      <c r="D20" s="55" t="s">
        <v>38</v>
      </c>
      <c r="E20" s="84" t="s">
        <v>30</v>
      </c>
      <c r="F20" s="53">
        <v>729</v>
      </c>
      <c r="G20" s="53" t="s">
        <v>31</v>
      </c>
      <c r="H20" s="53" t="s">
        <v>31</v>
      </c>
      <c r="I20" s="53" t="s">
        <v>31</v>
      </c>
      <c r="J20" s="53" t="s">
        <v>31</v>
      </c>
      <c r="K20" s="53" t="s">
        <v>31</v>
      </c>
      <c r="L20" s="53">
        <v>16</v>
      </c>
      <c r="M20" s="53"/>
      <c r="N20" s="58">
        <f>+L20+F20</f>
        <v>745</v>
      </c>
      <c r="O20" s="59"/>
      <c r="P20" s="39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</row>
    <row r="21" spans="2:1228" s="32" customFormat="1" ht="17.5">
      <c r="B21" s="54">
        <v>10161</v>
      </c>
      <c r="C21" s="55" t="s">
        <v>39</v>
      </c>
      <c r="D21" s="55" t="s">
        <v>40</v>
      </c>
      <c r="E21" s="84" t="s">
        <v>30</v>
      </c>
      <c r="F21" s="53">
        <v>252</v>
      </c>
      <c r="G21" s="53" t="s">
        <v>31</v>
      </c>
      <c r="H21" s="53" t="s">
        <v>31</v>
      </c>
      <c r="I21" s="53" t="s">
        <v>31</v>
      </c>
      <c r="J21" s="53" t="s">
        <v>31</v>
      </c>
      <c r="K21" s="53" t="s">
        <v>31</v>
      </c>
      <c r="L21" s="53">
        <v>1</v>
      </c>
      <c r="M21" s="53"/>
      <c r="N21" s="58">
        <f>+F21+L21</f>
        <v>253</v>
      </c>
      <c r="O21" s="59"/>
      <c r="P21" s="39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</row>
    <row r="22" spans="2:1228" s="33" customFormat="1" ht="17.5">
      <c r="B22" s="54">
        <v>10161</v>
      </c>
      <c r="C22" s="55" t="s">
        <v>39</v>
      </c>
      <c r="D22" s="55" t="s">
        <v>40</v>
      </c>
      <c r="E22" s="53" t="s">
        <v>32</v>
      </c>
      <c r="F22" s="53">
        <v>155</v>
      </c>
      <c r="G22" s="53" t="s">
        <v>31</v>
      </c>
      <c r="H22" s="53">
        <v>16</v>
      </c>
      <c r="I22" s="53" t="s">
        <v>31</v>
      </c>
      <c r="J22" s="53">
        <v>6</v>
      </c>
      <c r="K22" s="53">
        <v>54.48</v>
      </c>
      <c r="L22" s="53">
        <v>12.75</v>
      </c>
      <c r="M22" s="53"/>
      <c r="N22" s="58"/>
      <c r="O22" s="59">
        <f>+L22+F22</f>
        <v>167.75</v>
      </c>
      <c r="P22" s="39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</row>
    <row r="23" spans="2:1228" s="32" customFormat="1" ht="17.5">
      <c r="B23" s="54">
        <v>10147</v>
      </c>
      <c r="C23" s="55" t="s">
        <v>41</v>
      </c>
      <c r="D23" s="55" t="s">
        <v>42</v>
      </c>
      <c r="E23" s="84" t="s">
        <v>30</v>
      </c>
      <c r="F23" s="53">
        <v>950.83</v>
      </c>
      <c r="G23" s="53">
        <v>2</v>
      </c>
      <c r="H23" s="53" t="s">
        <v>31</v>
      </c>
      <c r="I23" s="53" t="s">
        <v>31</v>
      </c>
      <c r="J23" s="53" t="s">
        <v>31</v>
      </c>
      <c r="K23" s="53" t="s">
        <v>31</v>
      </c>
      <c r="L23" s="53">
        <v>9.25</v>
      </c>
      <c r="M23" s="53"/>
      <c r="N23" s="58">
        <f>+F23+L23</f>
        <v>960.08</v>
      </c>
      <c r="O23" s="59"/>
      <c r="P23" s="39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</row>
    <row r="24" spans="2:1228" s="33" customFormat="1" ht="17.5">
      <c r="B24" s="54">
        <v>10147</v>
      </c>
      <c r="C24" s="55" t="s">
        <v>41</v>
      </c>
      <c r="D24" s="55" t="s">
        <v>42</v>
      </c>
      <c r="E24" s="53" t="s">
        <v>32</v>
      </c>
      <c r="F24" s="53">
        <v>977.95</v>
      </c>
      <c r="G24" s="53">
        <v>32</v>
      </c>
      <c r="H24" s="53">
        <v>8</v>
      </c>
      <c r="I24" s="53">
        <v>40</v>
      </c>
      <c r="J24" s="53">
        <v>48</v>
      </c>
      <c r="K24" s="53" t="s">
        <v>31</v>
      </c>
      <c r="L24" s="53">
        <v>68</v>
      </c>
      <c r="M24" s="53"/>
      <c r="N24" s="58"/>
      <c r="O24" s="59">
        <f>+L24+F24</f>
        <v>1045.95</v>
      </c>
      <c r="P24" s="39"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</row>
    <row r="25" spans="2:1228" s="33" customFormat="1" ht="17.5">
      <c r="B25" s="54">
        <v>10120</v>
      </c>
      <c r="C25" s="55" t="s">
        <v>43</v>
      </c>
      <c r="D25" s="55" t="s">
        <v>44</v>
      </c>
      <c r="E25" s="53" t="s">
        <v>32</v>
      </c>
      <c r="F25" s="53">
        <v>1022.25</v>
      </c>
      <c r="G25" s="53">
        <v>52</v>
      </c>
      <c r="H25" s="53">
        <v>24</v>
      </c>
      <c r="I25" s="53">
        <v>40</v>
      </c>
      <c r="J25" s="53">
        <v>72</v>
      </c>
      <c r="K25" s="53" t="s">
        <v>31</v>
      </c>
      <c r="L25" s="53">
        <v>58.75</v>
      </c>
      <c r="M25" s="53"/>
      <c r="N25" s="58"/>
      <c r="O25" s="59">
        <f>+L25+F25</f>
        <v>1081</v>
      </c>
      <c r="P25" s="39"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</row>
    <row r="26" spans="2:1228" s="32" customFormat="1" ht="17.5">
      <c r="B26" s="54">
        <v>10120</v>
      </c>
      <c r="C26" s="55" t="s">
        <v>43</v>
      </c>
      <c r="D26" s="55" t="s">
        <v>44</v>
      </c>
      <c r="E26" s="84" t="s">
        <v>30</v>
      </c>
      <c r="F26" s="53">
        <v>827.75</v>
      </c>
      <c r="G26" s="53" t="s">
        <v>31</v>
      </c>
      <c r="H26" s="53" t="s">
        <v>31</v>
      </c>
      <c r="I26" s="53" t="s">
        <v>31</v>
      </c>
      <c r="J26" s="53" t="s">
        <v>31</v>
      </c>
      <c r="K26" s="53" t="s">
        <v>31</v>
      </c>
      <c r="L26" s="53">
        <v>3.50</v>
      </c>
      <c r="M26" s="53"/>
      <c r="N26" s="58">
        <f>+F26+L26</f>
        <v>831.25</v>
      </c>
      <c r="O26" s="59"/>
      <c r="P26" s="39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</row>
    <row r="27" spans="2:1228" s="32" customFormat="1" ht="17.5">
      <c r="B27" s="54">
        <v>10215</v>
      </c>
      <c r="C27" s="55" t="s">
        <v>45</v>
      </c>
      <c r="D27" s="55" t="s">
        <v>46</v>
      </c>
      <c r="E27" s="84" t="s">
        <v>30</v>
      </c>
      <c r="F27" s="53">
        <v>488</v>
      </c>
      <c r="G27" s="53">
        <v>8</v>
      </c>
      <c r="H27" s="53" t="s">
        <v>31</v>
      </c>
      <c r="I27" s="53" t="s">
        <v>31</v>
      </c>
      <c r="J27" s="53" t="s">
        <v>31</v>
      </c>
      <c r="K27" s="53" t="s">
        <v>31</v>
      </c>
      <c r="L27" s="53">
        <v>3</v>
      </c>
      <c r="M27" s="53"/>
      <c r="N27" s="58">
        <f>+L27+F27</f>
        <v>491</v>
      </c>
      <c r="O27" s="59"/>
      <c r="P27" s="39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</row>
    <row r="28" spans="2:1228" s="33" customFormat="1" ht="17.5">
      <c r="B28" s="54">
        <v>10215</v>
      </c>
      <c r="C28" s="55" t="s">
        <v>45</v>
      </c>
      <c r="D28" s="55" t="s">
        <v>46</v>
      </c>
      <c r="E28" s="53" t="s">
        <v>32</v>
      </c>
      <c r="F28" s="53">
        <v>464.50</v>
      </c>
      <c r="G28" s="53">
        <v>10</v>
      </c>
      <c r="H28" s="53">
        <v>24</v>
      </c>
      <c r="I28" s="53">
        <v>16</v>
      </c>
      <c r="J28" s="53">
        <v>24</v>
      </c>
      <c r="K28" s="53" t="s">
        <v>31</v>
      </c>
      <c r="L28" s="53">
        <v>21</v>
      </c>
      <c r="M28" s="53"/>
      <c r="N28" s="58"/>
      <c r="O28" s="59">
        <f>+L28+F28</f>
        <v>485.50</v>
      </c>
      <c r="P28" s="39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</row>
    <row r="29" spans="2:16" ht="17.5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5"/>
      <c r="O29" s="60"/>
      <c r="P29" s="39"/>
    </row>
    <row r="30" spans="2:17" ht="18.5" thickBot="1">
      <c r="B30" s="61"/>
      <c r="C30" s="62"/>
      <c r="D30" s="62"/>
      <c r="E30" s="62"/>
      <c r="F30" s="62"/>
      <c r="G30" s="62"/>
      <c r="H30" s="62"/>
      <c r="I30" s="62"/>
      <c r="J30" s="62"/>
      <c r="K30" s="62"/>
      <c r="L30" s="76" t="s">
        <v>62</v>
      </c>
      <c r="M30" s="62"/>
      <c r="N30" s="85">
        <f>SUM(N13:N27)</f>
        <v>3840.33</v>
      </c>
      <c r="O30" s="63">
        <f>SUM(O13:O28)</f>
        <v>3833.95</v>
      </c>
      <c r="P30" s="39"/>
      <c r="Q30" s="35"/>
    </row>
    <row r="31" spans="7:11" ht="15.5" thickTop="1" thickBot="1">
      <c r="G31">
        <v>172</v>
      </c>
      <c r="H31">
        <v>168</v>
      </c>
      <c r="I31">
        <v>216</v>
      </c>
      <c r="J31">
        <v>336</v>
      </c>
      <c r="K31">
        <v>196.87</v>
      </c>
    </row>
    <row r="32" spans="5:15" ht="19" thickTop="1" thickBot="1">
      <c r="E32" s="77"/>
      <c r="F32" s="78" t="s">
        <v>60</v>
      </c>
      <c r="G32" s="78"/>
      <c r="H32" s="78"/>
      <c r="I32" s="78"/>
      <c r="J32" s="78"/>
      <c r="K32" s="78"/>
      <c r="L32" s="78" t="s">
        <v>61</v>
      </c>
      <c r="M32" s="79"/>
      <c r="N32" s="79"/>
      <c r="O32" s="80"/>
    </row>
    <row r="33" spans="5:15" ht="18" thickTop="1">
      <c r="E33" s="66" t="s">
        <v>59</v>
      </c>
      <c r="F33" s="67">
        <f>+F13+F16+F17+F20+F21+F23+F26+F27</f>
        <v>3799.08</v>
      </c>
      <c r="G33" s="67"/>
      <c r="H33" s="67"/>
      <c r="I33" s="67"/>
      <c r="J33" s="67"/>
      <c r="K33" s="67"/>
      <c r="L33" s="67">
        <f>+L16+L17+L20+L21+L23+L26+L27</f>
        <v>41.25</v>
      </c>
      <c r="M33" s="67"/>
      <c r="N33" s="67">
        <f>+F33+L33</f>
        <v>3840.33</v>
      </c>
      <c r="O33" s="81"/>
    </row>
    <row r="34" spans="5:15" ht="18" thickBot="1">
      <c r="E34" s="61" t="s">
        <v>49</v>
      </c>
      <c r="F34" s="62">
        <f>+F14+F15+F18+F19+F22+F24+F25+F28</f>
        <v>3622.45</v>
      </c>
      <c r="G34" s="62"/>
      <c r="H34" s="62"/>
      <c r="I34" s="62"/>
      <c r="J34" s="62"/>
      <c r="K34" s="62"/>
      <c r="L34" s="62">
        <f>+L18+L19+L22+L24+L25+L28</f>
        <v>211.50</v>
      </c>
      <c r="M34" s="62"/>
      <c r="N34" s="62"/>
      <c r="O34" s="82">
        <f>+F34+L34</f>
        <v>3833.95</v>
      </c>
    </row>
    <row r="35" spans="5:15" ht="15" thickTop="1">
      <c r="E35" s="133"/>
      <c r="F35" s="129"/>
      <c r="G35" s="129"/>
      <c r="H35" s="129"/>
      <c r="I35" s="129"/>
      <c r="J35" s="129"/>
      <c r="K35" s="129"/>
      <c r="L35" s="129"/>
      <c r="M35" s="129"/>
      <c r="N35" s="129"/>
      <c r="O35" s="134"/>
    </row>
    <row r="36" spans="2:15" ht="18.5" thickBot="1">
      <c r="B36" s="30"/>
      <c r="E36" s="135"/>
      <c r="F36" s="131" t="s">
        <v>63</v>
      </c>
      <c r="G36" s="130"/>
      <c r="H36" s="130"/>
      <c r="I36" s="130"/>
      <c r="J36" s="130"/>
      <c r="K36" s="130"/>
      <c r="L36" s="130"/>
      <c r="M36" s="130"/>
      <c r="N36" s="132">
        <f>++N30/(N30+O30)</f>
        <v>0.50041567417399413</v>
      </c>
      <c r="O36" s="136">
        <f>+O34/(+N30+O30)</f>
        <v>0.49958432582600582</v>
      </c>
    </row>
    <row r="42" ht="14.5">
      <c r="O42" s="34"/>
    </row>
    <row r="43" ht="14.5">
      <c r="O43" s="34"/>
    </row>
    <row r="44" ht="14.5">
      <c r="O44" s="34"/>
    </row>
    <row r="45" ht="14.5">
      <c r="O45" s="34"/>
    </row>
    <row r="46" ht="14.5">
      <c r="O46" s="34"/>
    </row>
    <row r="47" ht="14.5">
      <c r="O47" s="34"/>
    </row>
    <row r="48" ht="14.5">
      <c r="O48" s="34"/>
    </row>
    <row r="49" ht="14.5">
      <c r="O49" s="34"/>
    </row>
    <row r="50" ht="14.5">
      <c r="O50" s="34"/>
    </row>
    <row r="51" ht="14.5">
      <c r="O51" s="34"/>
    </row>
    <row r="52" ht="14.5">
      <c r="O52" s="34"/>
    </row>
    <row r="53" ht="14.5">
      <c r="O53" s="34"/>
    </row>
    <row r="54" ht="14.5">
      <c r="O54" s="34"/>
    </row>
    <row r="55" ht="14.5">
      <c r="O55" s="34"/>
    </row>
    <row r="56" ht="14.5">
      <c r="O56" s="34"/>
    </row>
  </sheetData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3:L108"/>
  <sheetViews>
    <sheetView workbookViewId="0" topLeftCell="A81">
      <selection pane="topLeft" activeCell="G20" sqref="G20"/>
    </sheetView>
  </sheetViews>
  <sheetFormatPr defaultRowHeight="15"/>
  <cols>
    <col min="2" max="2" width="9.71428571428571" bestFit="1" customWidth="1"/>
    <col min="4" max="4" width="11.7142857142857" customWidth="1"/>
    <col min="5" max="5" width="9.14285714285714" customWidth="1"/>
    <col min="6" max="6" width="11.1428571428571" customWidth="1"/>
    <col min="7" max="7" width="15.4285714285714" bestFit="1" customWidth="1"/>
    <col min="8" max="8" width="32.4285714285714" customWidth="1"/>
    <col min="9" max="9" width="16.1428571428571" customWidth="1"/>
    <col min="10" max="10" width="11.1428571428571" bestFit="1" customWidth="1"/>
    <col min="11" max="11" width="13.5714285714286" bestFit="1" customWidth="1"/>
    <col min="12" max="12" width="18.8571428571429" bestFit="1" customWidth="1"/>
  </cols>
  <sheetData>
    <row r="3" spans="1:12" ht="22">
      <c r="A3" s="117"/>
      <c r="B3" s="156" t="s">
        <v>251</v>
      </c>
      <c r="C3" s="156"/>
      <c r="D3" s="156"/>
      <c r="E3" s="156"/>
      <c r="F3" s="156"/>
      <c r="G3" s="156"/>
      <c r="H3" s="117"/>
      <c r="I3" s="155" t="s">
        <v>196</v>
      </c>
      <c r="J3" s="117"/>
      <c r="K3" s="117"/>
      <c r="L3" s="154">
        <v>908264.62</v>
      </c>
    </row>
    <row r="5" spans="7:12" ht="18.5" thickBot="1">
      <c r="G5" s="30"/>
      <c r="H5" s="37" t="s">
        <v>210</v>
      </c>
      <c r="J5" s="138"/>
      <c r="K5" s="138"/>
      <c r="L5" s="139">
        <v>0.03</v>
      </c>
    </row>
    <row r="6" ht="15" thickTop="1"/>
    <row r="7" spans="8:12" ht="18.5" thickBot="1">
      <c r="H7" s="118" t="s">
        <v>246</v>
      </c>
      <c r="L7" s="162">
        <v>27247.89</v>
      </c>
    </row>
    <row r="8" ht="15" thickTop="1"/>
    <row r="11" spans="2:5" ht="18">
      <c r="B11" s="123" t="s">
        <v>245</v>
      </c>
      <c r="C11" s="123"/>
      <c r="D11" s="123"/>
      <c r="E11" s="123"/>
    </row>
    <row r="13" spans="2:12" ht="15.5">
      <c r="B13" s="37" t="s">
        <v>154</v>
      </c>
      <c r="C13" s="37"/>
      <c r="D13" s="37" t="s">
        <v>155</v>
      </c>
      <c r="E13" s="37"/>
      <c r="F13" s="37"/>
      <c r="G13" s="37"/>
      <c r="H13" s="37" t="s">
        <v>156</v>
      </c>
      <c r="I13" s="37" t="s">
        <v>157</v>
      </c>
      <c r="J13" s="37"/>
      <c r="K13" s="37"/>
      <c r="L13" s="159">
        <v>44987</v>
      </c>
    </row>
    <row r="14" spans="2:12" ht="15.5">
      <c r="B14" s="37"/>
      <c r="C14" s="37"/>
      <c r="D14" s="37"/>
      <c r="E14" s="37"/>
      <c r="F14" s="37"/>
      <c r="G14" s="37"/>
      <c r="H14" s="37"/>
      <c r="I14" s="37" t="s">
        <v>159</v>
      </c>
      <c r="J14" s="37"/>
      <c r="K14" s="37"/>
      <c r="L14" s="37" t="s">
        <v>160</v>
      </c>
    </row>
    <row r="15" spans="2:12" ht="15.5">
      <c r="B15" s="37" t="s">
        <v>161</v>
      </c>
      <c r="C15" s="37" t="s">
        <v>162</v>
      </c>
      <c r="D15" s="37"/>
      <c r="E15" s="37" t="s">
        <v>163</v>
      </c>
      <c r="F15" s="37" t="s">
        <v>164</v>
      </c>
      <c r="G15" s="37" t="s">
        <v>165</v>
      </c>
      <c r="H15" s="37" t="s">
        <v>166</v>
      </c>
      <c r="I15" s="37" t="s">
        <v>167</v>
      </c>
      <c r="J15" s="37" t="s">
        <v>168</v>
      </c>
      <c r="K15" s="37" t="s">
        <v>169</v>
      </c>
      <c r="L15" s="37" t="s">
        <v>167</v>
      </c>
    </row>
    <row r="17" spans="1:5" ht="15.5">
      <c r="A17" s="114">
        <v>4</v>
      </c>
      <c r="B17" s="114" t="s">
        <v>84</v>
      </c>
      <c r="C17" s="114"/>
      <c r="D17" s="157" t="s">
        <v>153</v>
      </c>
      <c r="E17" s="157"/>
    </row>
    <row r="19" spans="1:12" ht="18">
      <c r="A19" s="114"/>
      <c r="B19" s="114"/>
      <c r="C19" s="114"/>
      <c r="D19" s="114"/>
      <c r="E19" s="157" t="s">
        <v>252</v>
      </c>
      <c r="F19" s="157"/>
      <c r="G19" s="157" t="s">
        <v>253</v>
      </c>
      <c r="H19" s="157"/>
      <c r="I19" s="157" t="s">
        <v>82</v>
      </c>
      <c r="J19" s="157" t="s">
        <v>149</v>
      </c>
      <c r="K19" s="158"/>
      <c r="L19" s="153">
        <v>27247.89</v>
      </c>
    </row>
    <row r="41" spans="2:12" ht="14.5">
      <c r="B41" t="s">
        <v>154</v>
      </c>
      <c r="D41" t="s">
        <v>155</v>
      </c>
      <c r="H41" t="s">
        <v>156</v>
      </c>
      <c r="I41" t="s">
        <v>157</v>
      </c>
      <c r="L41" t="s">
        <v>158</v>
      </c>
    </row>
    <row r="42" spans="9:12" ht="14.5">
      <c r="I42" t="s">
        <v>159</v>
      </c>
      <c r="L42" t="s">
        <v>160</v>
      </c>
    </row>
    <row r="43" spans="2:12" ht="14.5">
      <c r="B43" t="s">
        <v>161</v>
      </c>
      <c r="C43" t="s">
        <v>162</v>
      </c>
      <c r="E43" t="s">
        <v>163</v>
      </c>
      <c r="F43" t="s">
        <v>164</v>
      </c>
      <c r="G43" t="s">
        <v>165</v>
      </c>
      <c r="H43" t="s">
        <v>166</v>
      </c>
      <c r="I43" t="s">
        <v>167</v>
      </c>
      <c r="J43" t="s">
        <v>168</v>
      </c>
      <c r="K43" t="s">
        <v>169</v>
      </c>
      <c r="L43" t="s">
        <v>167</v>
      </c>
    </row>
    <row r="45" spans="1:5" ht="14.5">
      <c r="A45" s="114">
        <v>4</v>
      </c>
      <c r="B45" s="114" t="s">
        <v>84</v>
      </c>
      <c r="C45" s="114"/>
      <c r="D45" s="114" t="s">
        <v>153</v>
      </c>
      <c r="E45" s="114"/>
    </row>
    <row r="46" spans="2:10" ht="14.5">
      <c r="B46" s="116">
        <v>44592</v>
      </c>
      <c r="C46" t="s">
        <v>79</v>
      </c>
      <c r="E46" t="s">
        <v>85</v>
      </c>
      <c r="F46" t="s">
        <v>86</v>
      </c>
      <c r="G46">
        <v>34284</v>
      </c>
      <c r="H46" t="s">
        <v>87</v>
      </c>
      <c r="I46" t="s">
        <v>88</v>
      </c>
      <c r="J46" s="115">
        <v>1740.63</v>
      </c>
    </row>
    <row r="47" spans="8:12" ht="14.5">
      <c r="H47" t="s">
        <v>89</v>
      </c>
      <c r="I47" t="s">
        <v>82</v>
      </c>
      <c r="J47" t="s">
        <v>90</v>
      </c>
      <c r="K47" t="s">
        <v>82</v>
      </c>
      <c r="L47" t="s">
        <v>90</v>
      </c>
    </row>
    <row r="49" spans="2:10" ht="14.5">
      <c r="B49" s="116">
        <v>44620</v>
      </c>
      <c r="C49" t="s">
        <v>79</v>
      </c>
      <c r="E49" t="s">
        <v>85</v>
      </c>
      <c r="F49" t="s">
        <v>91</v>
      </c>
      <c r="G49">
        <v>34345</v>
      </c>
      <c r="H49" t="s">
        <v>92</v>
      </c>
      <c r="I49" t="s">
        <v>93</v>
      </c>
      <c r="J49" s="115">
        <v>2345.46</v>
      </c>
    </row>
    <row r="50" spans="8:12" ht="14.5">
      <c r="H50" t="s">
        <v>94</v>
      </c>
      <c r="I50" t="s">
        <v>90</v>
      </c>
      <c r="J50" t="s">
        <v>95</v>
      </c>
      <c r="K50" t="s">
        <v>82</v>
      </c>
      <c r="L50" t="s">
        <v>96</v>
      </c>
    </row>
    <row r="52" spans="2:10" ht="14.5">
      <c r="B52" s="116">
        <v>44651</v>
      </c>
      <c r="C52" t="s">
        <v>79</v>
      </c>
      <c r="E52" t="s">
        <v>85</v>
      </c>
      <c r="F52" t="s">
        <v>97</v>
      </c>
      <c r="G52">
        <v>34422</v>
      </c>
      <c r="H52" t="s">
        <v>98</v>
      </c>
      <c r="I52" t="s">
        <v>99</v>
      </c>
      <c r="J52" s="115">
        <v>1718.31</v>
      </c>
    </row>
    <row r="53" spans="8:12" ht="14.5">
      <c r="H53" t="s">
        <v>100</v>
      </c>
      <c r="I53" t="s">
        <v>96</v>
      </c>
      <c r="J53" t="s">
        <v>101</v>
      </c>
      <c r="K53" t="s">
        <v>82</v>
      </c>
      <c r="L53" t="s">
        <v>102</v>
      </c>
    </row>
    <row r="55" spans="2:10" ht="14.5">
      <c r="B55" s="116">
        <v>44681</v>
      </c>
      <c r="C55" t="s">
        <v>79</v>
      </c>
      <c r="E55" t="s">
        <v>85</v>
      </c>
      <c r="F55" t="s">
        <v>103</v>
      </c>
      <c r="G55">
        <v>34519</v>
      </c>
      <c r="H55" t="s">
        <v>104</v>
      </c>
      <c r="I55" t="s">
        <v>88</v>
      </c>
      <c r="J55" s="115">
        <v>2279.85</v>
      </c>
    </row>
    <row r="56" spans="8:12" ht="14.5">
      <c r="H56" t="s">
        <v>105</v>
      </c>
      <c r="I56" t="s">
        <v>102</v>
      </c>
      <c r="J56" t="s">
        <v>106</v>
      </c>
      <c r="K56" t="s">
        <v>82</v>
      </c>
      <c r="L56" t="s">
        <v>107</v>
      </c>
    </row>
    <row r="58" spans="2:10" ht="14.5">
      <c r="B58" s="116">
        <v>44712</v>
      </c>
      <c r="C58" t="s">
        <v>79</v>
      </c>
      <c r="E58" t="s">
        <v>85</v>
      </c>
      <c r="F58" t="s">
        <v>108</v>
      </c>
      <c r="G58">
        <v>34598</v>
      </c>
      <c r="H58" t="s">
        <v>109</v>
      </c>
      <c r="J58" s="115">
        <v>2362.92</v>
      </c>
    </row>
    <row r="59" spans="8:12" ht="14.5">
      <c r="H59" t="s">
        <v>110</v>
      </c>
      <c r="I59" t="s">
        <v>107</v>
      </c>
      <c r="J59" t="s">
        <v>111</v>
      </c>
      <c r="K59" t="s">
        <v>82</v>
      </c>
      <c r="L59" t="s">
        <v>112</v>
      </c>
    </row>
    <row r="61" spans="2:10" ht="14.5">
      <c r="B61" s="116">
        <v>44742</v>
      </c>
      <c r="C61" t="s">
        <v>79</v>
      </c>
      <c r="E61" t="s">
        <v>85</v>
      </c>
      <c r="F61" t="s">
        <v>80</v>
      </c>
      <c r="G61">
        <v>34672</v>
      </c>
      <c r="H61" t="s">
        <v>113</v>
      </c>
      <c r="I61" t="s">
        <v>99</v>
      </c>
      <c r="J61" s="115">
        <v>1661.82</v>
      </c>
    </row>
    <row r="62" spans="8:12" ht="14.5">
      <c r="H62" t="s">
        <v>114</v>
      </c>
      <c r="I62" t="s">
        <v>112</v>
      </c>
      <c r="J62" t="s">
        <v>115</v>
      </c>
      <c r="K62" t="s">
        <v>82</v>
      </c>
      <c r="L62" t="s">
        <v>116</v>
      </c>
    </row>
    <row r="64" spans="2:10" ht="14.5">
      <c r="B64" s="116">
        <v>44773</v>
      </c>
      <c r="C64" t="s">
        <v>79</v>
      </c>
      <c r="E64" t="s">
        <v>85</v>
      </c>
      <c r="F64" t="s">
        <v>117</v>
      </c>
      <c r="G64">
        <v>34743</v>
      </c>
      <c r="H64" t="s">
        <v>118</v>
      </c>
      <c r="I64" t="s">
        <v>119</v>
      </c>
      <c r="J64" s="115">
        <v>2966.88</v>
      </c>
    </row>
    <row r="65" spans="8:12" ht="14.5">
      <c r="H65" t="s">
        <v>120</v>
      </c>
      <c r="I65" t="s">
        <v>116</v>
      </c>
      <c r="J65" t="s">
        <v>121</v>
      </c>
      <c r="K65" t="s">
        <v>82</v>
      </c>
      <c r="L65" t="s">
        <v>122</v>
      </c>
    </row>
    <row r="67" spans="2:10" ht="14.5">
      <c r="B67" s="116">
        <v>44804</v>
      </c>
      <c r="C67" t="s">
        <v>79</v>
      </c>
      <c r="E67" t="s">
        <v>85</v>
      </c>
      <c r="F67" t="s">
        <v>123</v>
      </c>
      <c r="G67">
        <v>34812</v>
      </c>
      <c r="H67" t="s">
        <v>124</v>
      </c>
      <c r="J67" s="115">
        <v>2881.56</v>
      </c>
    </row>
    <row r="68" spans="8:12" ht="14.5">
      <c r="H68" t="s">
        <v>125</v>
      </c>
      <c r="I68" t="s">
        <v>122</v>
      </c>
      <c r="J68" t="s">
        <v>126</v>
      </c>
      <c r="K68" t="s">
        <v>82</v>
      </c>
      <c r="L68" t="s">
        <v>127</v>
      </c>
    </row>
    <row r="70" spans="2:10" ht="14.5">
      <c r="B70" s="116">
        <v>44834</v>
      </c>
      <c r="C70" t="s">
        <v>79</v>
      </c>
      <c r="E70" t="s">
        <v>85</v>
      </c>
      <c r="F70" t="s">
        <v>128</v>
      </c>
      <c r="G70">
        <v>34897</v>
      </c>
      <c r="H70" t="s">
        <v>98</v>
      </c>
      <c r="J70" s="115">
        <v>2238.06</v>
      </c>
    </row>
    <row r="71" spans="8:12" ht="14.5">
      <c r="H71" t="s">
        <v>129</v>
      </c>
      <c r="I71" t="s">
        <v>127</v>
      </c>
      <c r="J71" t="s">
        <v>130</v>
      </c>
      <c r="K71" t="s">
        <v>82</v>
      </c>
      <c r="L71" t="s">
        <v>131</v>
      </c>
    </row>
    <row r="73" spans="2:10" ht="14.5">
      <c r="B73" t="s">
        <v>132</v>
      </c>
      <c r="C73" t="s">
        <v>133</v>
      </c>
      <c r="E73" t="s">
        <v>85</v>
      </c>
      <c r="F73" t="s">
        <v>134</v>
      </c>
      <c r="G73">
        <v>34967</v>
      </c>
      <c r="H73" t="s">
        <v>135</v>
      </c>
      <c r="J73" s="115">
        <v>3520.74</v>
      </c>
    </row>
    <row r="74" spans="8:12" ht="14.5">
      <c r="H74" t="s">
        <v>136</v>
      </c>
      <c r="I74" t="s">
        <v>131</v>
      </c>
      <c r="J74" t="s">
        <v>137</v>
      </c>
      <c r="K74" t="s">
        <v>82</v>
      </c>
      <c r="L74" t="s">
        <v>138</v>
      </c>
    </row>
    <row r="76" spans="2:10" ht="14.5">
      <c r="B76" t="s">
        <v>139</v>
      </c>
      <c r="C76" t="s">
        <v>133</v>
      </c>
      <c r="E76" t="s">
        <v>85</v>
      </c>
      <c r="F76" t="s">
        <v>140</v>
      </c>
      <c r="G76">
        <v>35032</v>
      </c>
      <c r="H76" t="s">
        <v>141</v>
      </c>
      <c r="I76" t="s">
        <v>93</v>
      </c>
      <c r="J76" s="115">
        <v>1599.15</v>
      </c>
    </row>
    <row r="77" spans="8:12" ht="14.5">
      <c r="H77" t="s">
        <v>142</v>
      </c>
      <c r="I77" t="s">
        <v>138</v>
      </c>
      <c r="J77" t="s">
        <v>143</v>
      </c>
      <c r="K77" t="s">
        <v>82</v>
      </c>
      <c r="L77" t="s">
        <v>144</v>
      </c>
    </row>
    <row r="79" spans="2:10" ht="14.5">
      <c r="B79" t="s">
        <v>145</v>
      </c>
      <c r="C79" t="s">
        <v>133</v>
      </c>
      <c r="E79" t="s">
        <v>85</v>
      </c>
      <c r="F79" t="s">
        <v>146</v>
      </c>
      <c r="G79">
        <v>35098</v>
      </c>
      <c r="H79" t="s">
        <v>124</v>
      </c>
      <c r="J79" s="115">
        <v>1932.51</v>
      </c>
    </row>
    <row r="80" spans="8:12" ht="14.5">
      <c r="H80" t="s">
        <v>147</v>
      </c>
      <c r="I80" t="s">
        <v>144</v>
      </c>
      <c r="J80" t="s">
        <v>148</v>
      </c>
      <c r="K80" t="s">
        <v>82</v>
      </c>
      <c r="L80" t="s">
        <v>149</v>
      </c>
    </row>
    <row r="82" spans="1:12" ht="15.5">
      <c r="A82" s="114"/>
      <c r="B82" s="114"/>
      <c r="C82" s="114"/>
      <c r="D82" s="114"/>
      <c r="E82" s="114"/>
      <c r="F82" s="114" t="s">
        <v>150</v>
      </c>
      <c r="G82" s="114" t="s">
        <v>151</v>
      </c>
      <c r="H82" s="114" t="s">
        <v>152</v>
      </c>
      <c r="I82" s="114" t="s">
        <v>82</v>
      </c>
      <c r="J82" s="114" t="s">
        <v>149</v>
      </c>
      <c r="K82" s="114" t="s">
        <v>82</v>
      </c>
      <c r="L82" s="119" t="s">
        <v>149</v>
      </c>
    </row>
    <row r="84" spans="2:12" ht="14.5">
      <c r="B84" t="s">
        <v>154</v>
      </c>
      <c r="D84" t="s">
        <v>155</v>
      </c>
      <c r="H84" t="s">
        <v>156</v>
      </c>
      <c r="I84" t="s">
        <v>157</v>
      </c>
      <c r="L84" t="s">
        <v>158</v>
      </c>
    </row>
    <row r="85" spans="9:12" ht="14.5">
      <c r="I85" t="s">
        <v>159</v>
      </c>
      <c r="L85" t="s">
        <v>160</v>
      </c>
    </row>
    <row r="86" spans="2:12" ht="14.5">
      <c r="B86" t="s">
        <v>161</v>
      </c>
      <c r="C86" t="s">
        <v>162</v>
      </c>
      <c r="E86" t="s">
        <v>163</v>
      </c>
      <c r="F86" t="s">
        <v>164</v>
      </c>
      <c r="G86" t="s">
        <v>165</v>
      </c>
      <c r="H86" t="s">
        <v>166</v>
      </c>
      <c r="I86" t="s">
        <v>167</v>
      </c>
      <c r="J86" t="s">
        <v>168</v>
      </c>
      <c r="K86" t="s">
        <v>169</v>
      </c>
      <c r="L86" t="s">
        <v>167</v>
      </c>
    </row>
    <row r="88" spans="1:12" ht="18">
      <c r="A88" s="117"/>
      <c r="B88" s="117"/>
      <c r="C88" s="117" t="s">
        <v>6</v>
      </c>
      <c r="D88" s="117" t="s">
        <v>170</v>
      </c>
      <c r="E88" s="117" t="s">
        <v>171</v>
      </c>
      <c r="F88" s="117" t="s">
        <v>203</v>
      </c>
      <c r="G88" s="117"/>
      <c r="H88" s="117"/>
      <c r="I88" s="117" t="s">
        <v>82</v>
      </c>
      <c r="J88" s="117" t="s">
        <v>172</v>
      </c>
      <c r="K88" s="117" t="s">
        <v>173</v>
      </c>
      <c r="L88" s="156" t="s">
        <v>197</v>
      </c>
    </row>
    <row r="89" ht="18">
      <c r="L89" s="123"/>
    </row>
    <row r="90" ht="18">
      <c r="L90" s="123"/>
    </row>
    <row r="91" spans="1:12" ht="18">
      <c r="A91" s="117"/>
      <c r="B91" s="117"/>
      <c r="C91" s="117"/>
      <c r="D91" s="117" t="s">
        <v>83</v>
      </c>
      <c r="E91" s="117" t="s">
        <v>175</v>
      </c>
      <c r="F91" s="117" t="s">
        <v>176</v>
      </c>
      <c r="G91" s="117" t="s">
        <v>177</v>
      </c>
      <c r="H91" s="117" t="s">
        <v>178</v>
      </c>
      <c r="I91" s="117" t="s">
        <v>82</v>
      </c>
      <c r="J91" s="117" t="s">
        <v>174</v>
      </c>
      <c r="K91" s="117" t="s">
        <v>179</v>
      </c>
      <c r="L91" s="156" t="s">
        <v>198</v>
      </c>
    </row>
    <row r="92" ht="18">
      <c r="L92" s="123"/>
    </row>
    <row r="93" ht="18.5" thickBot="1">
      <c r="L93" s="123"/>
    </row>
    <row r="94" spans="2:12" ht="19" thickTop="1" thickBot="1">
      <c r="B94" s="117"/>
      <c r="C94" s="117" t="s">
        <v>81</v>
      </c>
      <c r="D94" s="117" t="s">
        <v>181</v>
      </c>
      <c r="E94" s="117" t="s">
        <v>182</v>
      </c>
      <c r="F94" s="117" t="s">
        <v>183</v>
      </c>
      <c r="G94" s="117" t="s">
        <v>204</v>
      </c>
      <c r="H94" s="117" t="s">
        <v>205</v>
      </c>
      <c r="I94" s="117" t="s">
        <v>82</v>
      </c>
      <c r="J94" s="117" t="s">
        <v>82</v>
      </c>
      <c r="K94" s="117" t="s">
        <v>180</v>
      </c>
      <c r="L94" s="161" t="s">
        <v>199</v>
      </c>
    </row>
    <row r="95" ht="18.5" thickTop="1">
      <c r="L95" s="123"/>
    </row>
    <row r="96" ht="18">
      <c r="L96" s="123"/>
    </row>
    <row r="97" spans="1:12" ht="18">
      <c r="A97" s="117"/>
      <c r="B97" s="117"/>
      <c r="C97" s="117"/>
      <c r="D97" s="117" t="s">
        <v>81</v>
      </c>
      <c r="E97" s="117" t="s">
        <v>185</v>
      </c>
      <c r="F97" s="117" t="s">
        <v>186</v>
      </c>
      <c r="G97" s="117" t="s">
        <v>206</v>
      </c>
      <c r="H97" s="117" t="s">
        <v>207</v>
      </c>
      <c r="I97" s="117" t="s">
        <v>82</v>
      </c>
      <c r="J97" s="117" t="s">
        <v>184</v>
      </c>
      <c r="K97" s="117" t="s">
        <v>187</v>
      </c>
      <c r="L97" s="156" t="s">
        <v>200</v>
      </c>
    </row>
    <row r="100" spans="1:12" ht="18">
      <c r="A100" s="117"/>
      <c r="B100" s="117"/>
      <c r="C100" s="117"/>
      <c r="D100" s="117"/>
      <c r="E100" s="160" t="s">
        <v>189</v>
      </c>
      <c r="F100" s="160" t="s">
        <v>190</v>
      </c>
      <c r="G100" s="160" t="s">
        <v>208</v>
      </c>
      <c r="H100" s="160" t="s">
        <v>209</v>
      </c>
      <c r="I100" s="160" t="s">
        <v>82</v>
      </c>
      <c r="J100" s="160" t="s">
        <v>82</v>
      </c>
      <c r="K100" s="160" t="s">
        <v>188</v>
      </c>
      <c r="L100" s="160" t="s">
        <v>201</v>
      </c>
    </row>
    <row r="102" spans="1:12" ht="14.5">
      <c r="A102" s="117"/>
      <c r="B102" s="117"/>
      <c r="C102" s="117"/>
      <c r="D102" s="117"/>
      <c r="E102" s="117" t="s">
        <v>192</v>
      </c>
      <c r="F102" s="117" t="s">
        <v>193</v>
      </c>
      <c r="G102" s="117" t="s">
        <v>194</v>
      </c>
      <c r="H102" s="117" t="s">
        <v>195</v>
      </c>
      <c r="I102" s="117" t="s">
        <v>82</v>
      </c>
      <c r="J102" s="117" t="s">
        <v>82</v>
      </c>
      <c r="K102" s="117" t="s">
        <v>191</v>
      </c>
      <c r="L102" s="117" t="s">
        <v>202</v>
      </c>
    </row>
    <row r="104" spans="1:12" ht="19.5">
      <c r="A104" s="117"/>
      <c r="B104" s="117"/>
      <c r="C104" s="117"/>
      <c r="D104" s="117"/>
      <c r="E104" s="117"/>
      <c r="F104" s="117"/>
      <c r="G104" s="117"/>
      <c r="H104" s="117"/>
      <c r="I104" s="156" t="s">
        <v>196</v>
      </c>
      <c r="J104" s="156"/>
      <c r="K104" s="156"/>
      <c r="L104" s="154">
        <v>908264.62</v>
      </c>
    </row>
    <row r="106" spans="7:12" ht="18.5" thickBot="1">
      <c r="G106" s="30"/>
      <c r="H106" s="37" t="s">
        <v>210</v>
      </c>
      <c r="J106" s="138"/>
      <c r="K106" s="138"/>
      <c r="L106" s="139">
        <v>0.03</v>
      </c>
    </row>
    <row r="107" ht="15" thickTop="1"/>
    <row r="108" spans="8:12" ht="15.5">
      <c r="H108" s="118" t="s">
        <v>211</v>
      </c>
      <c r="L108" s="137">
        <f>+L104*0.03</f>
        <v>27247.938599999998</v>
      </c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99FF"/>
  </sheetPr>
  <dimension ref="A1:W35"/>
  <sheetViews>
    <sheetView zoomScale="117" zoomScaleNormal="117" workbookViewId="0" topLeftCell="A16">
      <selection pane="topLeft" activeCell="J33" sqref="J33"/>
    </sheetView>
  </sheetViews>
  <sheetFormatPr defaultRowHeight="15"/>
  <cols>
    <col min="10" max="10" width="20.1428571428571" customWidth="1"/>
    <col min="11" max="11" width="6" customWidth="1"/>
    <col min="12" max="12" width="20.1428571428571" customWidth="1"/>
    <col min="13" max="13" width="2.28571428571429" customWidth="1"/>
    <col min="14" max="14" width="1.42857142857143" customWidth="1"/>
    <col min="15" max="17" width="20.1428571428571" customWidth="1"/>
    <col min="18" max="18" width="24.7142857142857" customWidth="1"/>
    <col min="19" max="19" width="8" customWidth="1"/>
    <col min="20" max="22" width="20.1428571428571" customWidth="1"/>
    <col min="23" max="23" width="20.1428571428571" style="1" customWidth="1"/>
  </cols>
  <sheetData>
    <row r="1" ht="14.5">
      <c r="A1" t="s">
        <v>212</v>
      </c>
    </row>
    <row r="2" ht="14.5">
      <c r="L2" s="1"/>
    </row>
    <row r="3" ht="14.5">
      <c r="L3" s="1"/>
    </row>
    <row r="4" spans="12:16" ht="18">
      <c r="L4" s="1"/>
      <c r="N4" s="123"/>
      <c r="O4" s="123" t="s">
        <v>221</v>
      </c>
      <c r="P4" s="123"/>
    </row>
    <row r="5" ht="14.5">
      <c r="L5" s="1"/>
    </row>
    <row r="6" ht="14.5">
      <c r="L6" s="1"/>
    </row>
    <row r="7" ht="14.5">
      <c r="L7" s="1"/>
    </row>
    <row r="8" spans="10:12" ht="18">
      <c r="J8" s="124" t="s">
        <v>282</v>
      </c>
      <c r="L8" s="200" t="s">
        <v>285</v>
      </c>
    </row>
    <row r="9" spans="10:12" ht="18">
      <c r="J9" s="124" t="s">
        <v>283</v>
      </c>
      <c r="L9" s="200" t="s">
        <v>286</v>
      </c>
    </row>
    <row r="10" spans="10:12" ht="18">
      <c r="J10" s="124" t="s">
        <v>284</v>
      </c>
      <c r="L10" s="200" t="s">
        <v>287</v>
      </c>
    </row>
    <row r="11" ht="14.5">
      <c r="L11" s="1"/>
    </row>
    <row r="12" spans="10:23" ht="18">
      <c r="J12" s="143" t="s">
        <v>213</v>
      </c>
      <c r="K12" s="143"/>
      <c r="L12" s="143" t="s">
        <v>213</v>
      </c>
      <c r="W12" s="38"/>
    </row>
    <row r="13" spans="10:23" ht="18">
      <c r="J13" s="143" t="s">
        <v>214</v>
      </c>
      <c r="K13" s="143"/>
      <c r="L13" s="143" t="s">
        <v>214</v>
      </c>
      <c r="W13" s="38"/>
    </row>
    <row r="14" spans="10:23" ht="18">
      <c r="J14" s="120">
        <v>2468000</v>
      </c>
      <c r="K14" s="120"/>
      <c r="L14" s="120">
        <f>824577+1560907</f>
        <v>2385484</v>
      </c>
      <c r="W14" s="122"/>
    </row>
    <row r="15" spans="10:12" ht="17">
      <c r="J15" s="144"/>
      <c r="K15" s="144"/>
      <c r="L15" s="122"/>
    </row>
    <row r="16" spans="10:12" ht="17">
      <c r="J16" s="144"/>
      <c r="K16" s="144"/>
      <c r="L16" s="122"/>
    </row>
    <row r="17" spans="10:12" ht="17">
      <c r="J17" s="144"/>
      <c r="K17" s="144"/>
      <c r="L17" s="122"/>
    </row>
    <row r="18" spans="10:12" ht="17">
      <c r="J18" s="144"/>
      <c r="K18" s="144"/>
      <c r="L18" s="122"/>
    </row>
    <row r="19" spans="10:12" ht="17">
      <c r="J19" s="144"/>
      <c r="K19" s="144"/>
      <c r="L19" s="122"/>
    </row>
    <row r="20" spans="10:23" ht="18">
      <c r="J20" s="143" t="s">
        <v>213</v>
      </c>
      <c r="K20" s="143"/>
      <c r="L20" s="143" t="s">
        <v>213</v>
      </c>
      <c r="W20" s="38"/>
    </row>
    <row r="21" spans="10:23" ht="18">
      <c r="J21" s="143" t="s">
        <v>215</v>
      </c>
      <c r="K21" s="143"/>
      <c r="L21" s="143" t="s">
        <v>215</v>
      </c>
      <c r="W21" s="38"/>
    </row>
    <row r="22" spans="10:23" ht="18">
      <c r="J22" s="121">
        <v>1201000</v>
      </c>
      <c r="K22" s="121"/>
      <c r="L22" s="122">
        <f>1016127+1051697</f>
        <v>2067824</v>
      </c>
      <c r="W22" s="122"/>
    </row>
    <row r="23" spans="10:12" ht="17">
      <c r="J23" s="144"/>
      <c r="K23" s="144"/>
      <c r="L23" s="122"/>
    </row>
    <row r="24" spans="10:23" ht="18">
      <c r="J24" s="124" t="s">
        <v>216</v>
      </c>
      <c r="K24" s="124"/>
      <c r="L24" s="124" t="s">
        <v>216</v>
      </c>
      <c r="W24" s="124"/>
    </row>
    <row r="25" spans="10:23" ht="18">
      <c r="J25" s="124" t="s">
        <v>217</v>
      </c>
      <c r="K25" s="124"/>
      <c r="L25" s="124" t="s">
        <v>217</v>
      </c>
      <c r="W25" s="124"/>
    </row>
    <row r="26" spans="10:23" ht="18">
      <c r="J26" s="125">
        <f>+J14-J22</f>
        <v>1267000</v>
      </c>
      <c r="K26" s="125"/>
      <c r="L26" s="120">
        <f>+L14-L22</f>
        <v>317660</v>
      </c>
      <c r="P26" s="123" t="s">
        <v>222</v>
      </c>
      <c r="Q26" s="123"/>
      <c r="R26" s="120">
        <v>-145917</v>
      </c>
      <c r="S26" s="123"/>
      <c r="T26" s="120">
        <v>646769</v>
      </c>
      <c r="W26" s="120"/>
    </row>
    <row r="27" spans="12:20" ht="18">
      <c r="L27" s="1"/>
      <c r="P27" s="123" t="s">
        <v>223</v>
      </c>
      <c r="Q27" s="123"/>
      <c r="R27" s="120">
        <v>-5644</v>
      </c>
      <c r="S27" s="123"/>
      <c r="T27" s="120">
        <v>-2200</v>
      </c>
    </row>
    <row r="28" spans="12:20" ht="18">
      <c r="L28" s="1"/>
      <c r="P28" s="123"/>
      <c r="Q28" s="123"/>
      <c r="R28" s="123"/>
      <c r="S28" s="123"/>
      <c r="T28" s="120"/>
    </row>
    <row r="29" spans="12:20" ht="20" thickBot="1">
      <c r="L29" s="1"/>
      <c r="P29" s="123"/>
      <c r="Q29" s="123" t="s">
        <v>219</v>
      </c>
      <c r="R29" s="126">
        <f>SUM(R26:R27)</f>
        <v>-151561</v>
      </c>
      <c r="S29" s="123"/>
      <c r="T29" s="127">
        <f>SUM(T26:T27)</f>
        <v>644569</v>
      </c>
    </row>
    <row r="30" spans="16:20" ht="18">
      <c r="P30" s="123"/>
      <c r="Q30" s="123"/>
      <c r="R30" s="123" t="s">
        <v>218</v>
      </c>
      <c r="S30" s="123"/>
      <c r="T30" s="123"/>
    </row>
    <row r="31" spans="16:20" ht="18.5" thickBot="1">
      <c r="P31" s="123"/>
      <c r="Q31" s="123" t="s">
        <v>220</v>
      </c>
      <c r="R31" s="128">
        <v>0.21</v>
      </c>
      <c r="S31" s="123"/>
      <c r="T31" s="128">
        <v>0.21</v>
      </c>
    </row>
    <row r="32" spans="16:20" ht="18">
      <c r="P32" s="123"/>
      <c r="Q32" s="123"/>
      <c r="R32" s="123"/>
      <c r="S32" s="123"/>
      <c r="T32" s="123"/>
    </row>
    <row r="33" spans="16:20" ht="18">
      <c r="P33" s="123" t="s">
        <v>13</v>
      </c>
      <c r="R33" s="120">
        <f>+R29*0.21</f>
        <v>-31827.809999999998</v>
      </c>
      <c r="S33" s="123"/>
      <c r="T33" s="120">
        <f>+T29*0.21</f>
        <v>135359.49</v>
      </c>
    </row>
    <row r="35" spans="15:18" ht="18">
      <c r="O35" s="123" t="s">
        <v>226</v>
      </c>
      <c r="Q35" s="123"/>
      <c r="R35" s="123">
        <v>0</v>
      </c>
    </row>
  </sheetData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4:N68"/>
  <sheetViews>
    <sheetView view="pageBreakPreview" zoomScale="60" zoomScaleNormal="148" workbookViewId="0" topLeftCell="A51">
      <selection pane="topLeft" activeCell="AD87" sqref="AD87"/>
    </sheetView>
  </sheetViews>
  <sheetFormatPr defaultRowHeight="15"/>
  <cols>
    <col min="1" max="1" width="5.42857142857143" bestFit="1" customWidth="1"/>
    <col min="3" max="3" width="8.71428571428571" bestFit="1" customWidth="1"/>
    <col min="4" max="4" width="1.57142857142857" bestFit="1" customWidth="1"/>
    <col min="5" max="5" width="5.42857142857143" bestFit="1" customWidth="1"/>
    <col min="6" max="6" width="24" bestFit="1" customWidth="1"/>
    <col min="7" max="7" width="10.4285714285714" bestFit="1" customWidth="1"/>
    <col min="8" max="8" width="7" bestFit="1" customWidth="1"/>
    <col min="9" max="9" width="9.42857142857143" bestFit="1" customWidth="1"/>
    <col min="10" max="10" width="9.85714285714286" bestFit="1" customWidth="1"/>
    <col min="12" max="12" width="9.42857142857143" bestFit="1" customWidth="1"/>
    <col min="13" max="13" width="11.2857142857143" customWidth="1"/>
  </cols>
  <sheetData>
    <row r="4" spans="1:4" ht="14.5">
      <c r="A4" s="114"/>
      <c r="B4" s="114" t="s">
        <v>227</v>
      </c>
      <c r="C4" s="114" t="s">
        <v>228</v>
      </c>
      <c r="D4" s="114" t="s">
        <v>229</v>
      </c>
    </row>
    <row r="5" spans="1:4" ht="14.5">
      <c r="A5" s="114"/>
      <c r="B5" s="114"/>
      <c r="C5" s="114"/>
      <c r="D5" s="114"/>
    </row>
    <row r="6" ht="14.5">
      <c r="B6" s="163">
        <v>44805</v>
      </c>
    </row>
    <row r="7" spans="1:9" ht="14.5">
      <c r="A7" s="145" t="s">
        <v>230</v>
      </c>
      <c r="B7" s="145"/>
      <c r="C7" s="145" t="s">
        <v>231</v>
      </c>
      <c r="D7" s="145"/>
      <c r="E7" s="145">
        <v>6880</v>
      </c>
      <c r="F7" s="145" t="s">
        <v>254</v>
      </c>
      <c r="G7" s="145"/>
      <c r="H7" s="145"/>
      <c r="I7" s="145">
        <v>-87.15</v>
      </c>
    </row>
    <row r="8" spans="1:9" ht="14.5">
      <c r="A8" s="145" t="s">
        <v>230</v>
      </c>
      <c r="B8" s="145"/>
      <c r="C8" s="145" t="s">
        <v>231</v>
      </c>
      <c r="D8" s="145"/>
      <c r="E8" s="145">
        <v>6885</v>
      </c>
      <c r="F8" s="145" t="s">
        <v>232</v>
      </c>
      <c r="G8" s="145"/>
      <c r="H8" s="145">
        <v>87.15</v>
      </c>
      <c r="I8" s="145"/>
    </row>
    <row r="10" ht="14.5">
      <c r="B10" s="163">
        <v>44835</v>
      </c>
    </row>
    <row r="11" spans="1:9" ht="14.5">
      <c r="A11" s="145" t="s">
        <v>233</v>
      </c>
      <c r="B11" s="145"/>
      <c r="C11" s="145" t="s">
        <v>231</v>
      </c>
      <c r="D11" s="145"/>
      <c r="E11" s="145">
        <v>6882</v>
      </c>
      <c r="F11" s="145" t="s">
        <v>254</v>
      </c>
      <c r="G11" s="145"/>
      <c r="H11" s="145"/>
      <c r="I11" s="145">
        <v>-176.12</v>
      </c>
    </row>
    <row r="12" spans="1:9" ht="14.5">
      <c r="A12" t="s">
        <v>233</v>
      </c>
      <c r="C12" t="s">
        <v>231</v>
      </c>
      <c r="E12">
        <v>6884</v>
      </c>
      <c r="F12" t="s">
        <v>255</v>
      </c>
      <c r="I12">
        <v>-89.42</v>
      </c>
    </row>
    <row r="13" spans="1:9" ht="14.5">
      <c r="A13" s="145" t="s">
        <v>233</v>
      </c>
      <c r="B13" s="145"/>
      <c r="C13" s="145" t="s">
        <v>231</v>
      </c>
      <c r="D13" s="145"/>
      <c r="E13" s="145">
        <v>6886</v>
      </c>
      <c r="F13" s="145" t="s">
        <v>254</v>
      </c>
      <c r="G13" s="145"/>
      <c r="H13" s="145"/>
      <c r="I13" s="145">
        <v>-87.15</v>
      </c>
    </row>
    <row r="16" ht="14.5">
      <c r="B16" t="s">
        <v>248</v>
      </c>
    </row>
    <row r="30" spans="9:10" ht="14.5">
      <c r="I30" t="s">
        <v>33</v>
      </c>
      <c r="J30" t="s">
        <v>241</v>
      </c>
    </row>
    <row r="31" spans="7:12" ht="14.5">
      <c r="G31" s="30" t="s">
        <v>48</v>
      </c>
      <c r="I31" s="147">
        <v>2</v>
      </c>
      <c r="J31" s="147">
        <v>2</v>
      </c>
      <c r="L31" s="147">
        <v>4</v>
      </c>
    </row>
    <row r="32" spans="7:12" ht="14.5">
      <c r="G32" s="30" t="s">
        <v>237</v>
      </c>
      <c r="I32" s="148">
        <v>4.53</v>
      </c>
      <c r="J32" s="148">
        <v>6.34</v>
      </c>
      <c r="L32" s="148">
        <v>10.88</v>
      </c>
    </row>
    <row r="33" spans="7:12" ht="14.5">
      <c r="G33" s="30" t="s">
        <v>238</v>
      </c>
      <c r="I33" s="148">
        <v>0.56000000000000005</v>
      </c>
      <c r="J33" s="148">
        <v>0.56000000000000005</v>
      </c>
      <c r="L33" s="148">
        <v>1.1200000000000001</v>
      </c>
    </row>
    <row r="34" spans="7:12" ht="14.5">
      <c r="G34" s="30" t="s">
        <v>239</v>
      </c>
      <c r="I34" s="148">
        <v>5.0599999999999996</v>
      </c>
      <c r="J34" s="148">
        <v>5.0599999999999996</v>
      </c>
      <c r="L34" s="148">
        <v>10.119999999999999</v>
      </c>
    </row>
    <row r="35" spans="7:12" ht="15" thickBot="1">
      <c r="G35" s="30" t="s">
        <v>240</v>
      </c>
      <c r="I35" s="149">
        <v>75</v>
      </c>
      <c r="J35" s="149">
        <v>75</v>
      </c>
      <c r="L35" s="149">
        <v>150</v>
      </c>
    </row>
    <row r="36" spans="7:12" ht="15" thickTop="1">
      <c r="G36" s="30" t="s">
        <v>6</v>
      </c>
      <c r="I36" s="151">
        <f>SUM(I31:I35)</f>
        <v>87.15</v>
      </c>
      <c r="J36" s="151">
        <f>SUM(J31:J35)</f>
        <v>88.96</v>
      </c>
      <c r="L36" s="151">
        <f>SUM(L31:L35)</f>
        <v>176.12</v>
      </c>
    </row>
    <row r="40" ht="22">
      <c r="B40" s="146" t="s">
        <v>234</v>
      </c>
    </row>
    <row r="41" ht="22">
      <c r="B41" s="146" t="s">
        <v>235</v>
      </c>
    </row>
    <row r="42" ht="22">
      <c r="B42" s="146" t="s">
        <v>236</v>
      </c>
    </row>
    <row r="43" ht="22">
      <c r="B43" s="146"/>
    </row>
    <row r="44" ht="22">
      <c r="B44" s="146"/>
    </row>
    <row r="45" spans="1:2" ht="22">
      <c r="A45" s="30" t="s">
        <v>250</v>
      </c>
      <c r="B45" s="165"/>
    </row>
    <row r="46" spans="2:11" ht="14.5">
      <c r="B46" s="164" t="s">
        <v>132</v>
      </c>
      <c r="C46" s="164" t="s">
        <v>233</v>
      </c>
      <c r="D46" s="164"/>
      <c r="E46" s="164"/>
      <c r="F46" s="164" t="s">
        <v>249</v>
      </c>
      <c r="G46" s="164">
        <v>6889</v>
      </c>
      <c r="H46" s="164"/>
      <c r="I46" s="164"/>
      <c r="J46" s="164"/>
      <c r="K46" s="164">
        <v>-533.60</v>
      </c>
    </row>
    <row r="47" ht="22">
      <c r="B47" s="146"/>
    </row>
    <row r="48" spans="2:3" ht="22">
      <c r="B48" s="146"/>
      <c r="C48" t="s">
        <v>247</v>
      </c>
    </row>
    <row r="49" ht="22">
      <c r="B49" s="146"/>
    </row>
    <row r="50" ht="22">
      <c r="B50" s="146"/>
    </row>
    <row r="51" ht="22">
      <c r="B51" s="146"/>
    </row>
    <row r="52" ht="22">
      <c r="B52" s="146"/>
    </row>
    <row r="54" ht="22">
      <c r="M54" s="146"/>
    </row>
    <row r="58" spans="9:12" ht="14.5">
      <c r="I58" s="34" t="s">
        <v>242</v>
      </c>
      <c r="J58" s="34" t="s">
        <v>241</v>
      </c>
      <c r="L58" s="34" t="s">
        <v>6</v>
      </c>
    </row>
    <row r="59" spans="7:12" ht="14.5">
      <c r="G59" s="30" t="s">
        <v>48</v>
      </c>
      <c r="I59" s="147">
        <v>7</v>
      </c>
      <c r="J59" s="147">
        <v>7</v>
      </c>
      <c r="L59" s="147">
        <v>14</v>
      </c>
    </row>
    <row r="60" spans="7:14" ht="14.5">
      <c r="G60" s="30" t="s">
        <v>237</v>
      </c>
      <c r="I60" s="148">
        <v>36.39</v>
      </c>
      <c r="J60" s="148"/>
      <c r="L60" s="148">
        <v>36.39</v>
      </c>
      <c r="N60" s="150"/>
    </row>
    <row r="61" spans="7:14" ht="15" thickBot="1">
      <c r="G61" s="30" t="s">
        <v>238</v>
      </c>
      <c r="I61" s="148">
        <v>1.96</v>
      </c>
      <c r="J61" s="148">
        <v>1.96</v>
      </c>
      <c r="L61" s="148">
        <v>3.92</v>
      </c>
      <c r="N61" s="150"/>
    </row>
    <row r="62" spans="7:14" ht="15" thickBot="1">
      <c r="G62" s="30" t="s">
        <v>239</v>
      </c>
      <c r="I62" s="166">
        <v>17.71</v>
      </c>
      <c r="J62" s="148">
        <v>38.08</v>
      </c>
      <c r="L62" s="148">
        <v>55.79</v>
      </c>
      <c r="N62" s="152"/>
    </row>
    <row r="63" spans="7:12" ht="15" thickBot="1">
      <c r="G63" s="30" t="s">
        <v>240</v>
      </c>
      <c r="I63" s="149">
        <v>262.50</v>
      </c>
      <c r="J63" s="149">
        <v>161</v>
      </c>
      <c r="L63" s="149">
        <v>423.50</v>
      </c>
    </row>
    <row r="64" spans="7:13" ht="15" thickTop="1">
      <c r="G64" s="30" t="s">
        <v>6</v>
      </c>
      <c r="I64" s="151">
        <f>SUM(I59:I63)</f>
        <v>325.56</v>
      </c>
      <c r="J64" s="151">
        <f>SUM(J59:J63)</f>
        <v>208.04</v>
      </c>
      <c r="L64" s="151">
        <f>SUM(L59:L63)</f>
        <v>533.60</v>
      </c>
      <c r="M64" s="152"/>
    </row>
    <row r="66" ht="22">
      <c r="B66" s="146" t="s">
        <v>234</v>
      </c>
    </row>
    <row r="67" ht="22">
      <c r="B67" s="146" t="s">
        <v>243</v>
      </c>
    </row>
    <row r="68" ht="22">
      <c r="B68" s="146" t="s">
        <v>244</v>
      </c>
    </row>
  </sheetData>
  <pageMargins left="0.7" right="0.7" top="0.75" bottom="0.75" header="0.3" footer="0.3"/>
  <pageSetup orientation="portrait" scale="66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view="pageBreakPreview" zoomScale="106" zoomScaleNormal="100" zoomScaleSheetLayoutView="106" workbookViewId="0" topLeftCell="A11">
      <selection pane="topLeft" activeCell="P25" sqref="P25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 topLeftCell="A1">
      <selection pane="topLeft" activeCell="Q26" sqref="Q26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140" zoomScaleNormal="140" workbookViewId="0" topLeftCell="A6">
      <selection pane="topLeft" activeCell="N20" sqref="N20"/>
    </sheetView>
  </sheetViews>
  <sheetFormatPr defaultRowHeight="15"/>
  <sheetData/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 topLeftCell="A20">
      <selection pane="topLeft" activeCell="P43" sqref="P43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SheetLayoutView="96" workbookViewId="0" topLeftCell="A1">
      <selection pane="topLeft" activeCell="I57" sqref="I56:I57"/>
    </sheetView>
  </sheetViews>
  <sheetFormatPr defaultRowHeight="15"/>
  <sheetData/>
  <pageMargins left="0.7" right="0.7" top="0.75" bottom="0.75" header="0.3" footer="0.3"/>
  <pageSetup orientation="portrait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="118" zoomScaleNormal="118" workbookViewId="0" topLeftCell="A7">
      <selection pane="topLeft" activeCell="N30" sqref="N30"/>
    </sheetView>
  </sheetViews>
  <sheetFormatPr defaultRowHeight="15"/>
  <sheetData/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8"/>
  <sheetViews>
    <sheetView zoomScale="91" zoomScaleNormal="91" workbookViewId="0" topLeftCell="A1">
      <selection pane="topLeft" activeCell="Q23" sqref="Q23"/>
    </sheetView>
  </sheetViews>
  <sheetFormatPr defaultRowHeight="15"/>
  <cols>
    <col min="1" max="1" width="36.5714285714286" bestFit="1" customWidth="1"/>
    <col min="2" max="2" width="19" customWidth="1"/>
    <col min="3" max="3" width="9.14285714285714" hidden="1" customWidth="1"/>
    <col min="4" max="4" width="19" customWidth="1"/>
    <col min="5" max="9" width="2.85714285714286" customWidth="1"/>
  </cols>
  <sheetData>
    <row r="1" spans="2:4" ht="15.5">
      <c r="B1" s="38" t="s">
        <v>68</v>
      </c>
      <c r="D1" s="102" t="s">
        <v>70</v>
      </c>
    </row>
    <row r="2" spans="2:4" ht="15.5">
      <c r="B2" s="38" t="s">
        <v>256</v>
      </c>
      <c r="D2" s="102" t="s">
        <v>71</v>
      </c>
    </row>
    <row r="3" ht="15" thickBot="1"/>
    <row r="4" spans="1:6" ht="16" thickTop="1">
      <c r="A4" s="4"/>
      <c r="B4" s="93" t="s">
        <v>1</v>
      </c>
      <c r="C4" s="37"/>
      <c r="D4" s="201" t="s">
        <v>1</v>
      </c>
      <c r="E4" s="4"/>
      <c r="F4" s="37" t="s">
        <v>2</v>
      </c>
    </row>
    <row r="5" spans="1:6" ht="15.5">
      <c r="A5" s="4"/>
      <c r="B5" s="168">
        <v>2017</v>
      </c>
      <c r="C5" s="37"/>
      <c r="D5" s="202">
        <v>2017</v>
      </c>
      <c r="E5" s="4"/>
      <c r="F5" s="37"/>
    </row>
    <row r="6" spans="1:6" ht="15.5">
      <c r="A6" s="4"/>
      <c r="B6" s="94"/>
      <c r="C6" s="37"/>
      <c r="D6" s="198"/>
      <c r="E6" s="4"/>
      <c r="F6" s="37"/>
    </row>
    <row r="7" spans="1:6" ht="15.5">
      <c r="A7" s="37" t="s">
        <v>3</v>
      </c>
      <c r="B7" s="95">
        <v>711052</v>
      </c>
      <c r="C7" s="37"/>
      <c r="D7" s="97">
        <v>711052</v>
      </c>
      <c r="E7" s="4"/>
      <c r="F7" s="37" t="s">
        <v>3</v>
      </c>
    </row>
    <row r="8" spans="1:6" ht="15.5">
      <c r="A8" s="37" t="s">
        <v>4</v>
      </c>
      <c r="B8" s="95">
        <v>22202</v>
      </c>
      <c r="C8" s="37"/>
      <c r="D8" s="97">
        <v>22202</v>
      </c>
      <c r="E8" s="4"/>
      <c r="F8" s="37" t="s">
        <v>4</v>
      </c>
    </row>
    <row r="9" spans="1:6" ht="15.5">
      <c r="A9" s="37"/>
      <c r="B9" s="95"/>
      <c r="C9" s="37"/>
      <c r="D9" s="97"/>
      <c r="E9" s="4"/>
      <c r="F9" s="37"/>
    </row>
    <row r="10" spans="1:6" ht="15.5">
      <c r="A10" s="37" t="s">
        <v>5</v>
      </c>
      <c r="B10" s="96">
        <f>SUM(B7:B9)</f>
        <v>733254</v>
      </c>
      <c r="C10" s="9" t="s">
        <v>6</v>
      </c>
      <c r="D10" s="100">
        <f>SUM(D7:D9)</f>
        <v>733254</v>
      </c>
      <c r="E10" s="4"/>
      <c r="F10" s="37" t="s">
        <v>5</v>
      </c>
    </row>
    <row r="11" spans="1:6" ht="15.5">
      <c r="A11" s="4"/>
      <c r="B11" s="95"/>
      <c r="C11" s="37"/>
      <c r="D11" s="97"/>
      <c r="E11" s="4"/>
      <c r="F11" s="37"/>
    </row>
    <row r="12" spans="1:6" ht="15.5">
      <c r="A12" s="37" t="s">
        <v>7</v>
      </c>
      <c r="B12" s="97"/>
      <c r="C12" s="37"/>
      <c r="D12" s="97"/>
      <c r="E12" s="4"/>
      <c r="F12" s="37" t="s">
        <v>7</v>
      </c>
    </row>
    <row r="13" spans="1:6" ht="15.5">
      <c r="A13" s="37" t="s">
        <v>8</v>
      </c>
      <c r="B13" s="97">
        <f>+D13</f>
        <v>452776</v>
      </c>
      <c r="C13" s="37"/>
      <c r="D13" s="97">
        <v>452776</v>
      </c>
      <c r="E13" s="4"/>
      <c r="F13" s="37" t="s">
        <v>8</v>
      </c>
    </row>
    <row r="14" spans="1:6" ht="15.5">
      <c r="A14" s="37" t="s">
        <v>9</v>
      </c>
      <c r="B14" s="97">
        <f>+D14</f>
        <v>67167</v>
      </c>
      <c r="C14" s="37"/>
      <c r="D14" s="97">
        <v>67167</v>
      </c>
      <c r="E14" s="4"/>
      <c r="F14" s="37" t="s">
        <v>9</v>
      </c>
    </row>
    <row r="15" spans="1:6" ht="15.5">
      <c r="A15" s="37" t="s">
        <v>10</v>
      </c>
      <c r="B15" s="97">
        <f>+D15</f>
        <v>-5795</v>
      </c>
      <c r="C15" s="37"/>
      <c r="D15" s="97">
        <v>-5795</v>
      </c>
      <c r="E15" s="4"/>
      <c r="F15" s="37" t="s">
        <v>10</v>
      </c>
    </row>
    <row r="16" spans="1:6" ht="15.5">
      <c r="A16" s="37" t="s">
        <v>11</v>
      </c>
      <c r="B16" s="97">
        <f>+D16</f>
        <v>65017</v>
      </c>
      <c r="C16" s="37"/>
      <c r="D16" s="97">
        <v>65017</v>
      </c>
      <c r="E16" s="4"/>
      <c r="F16" s="37" t="s">
        <v>11</v>
      </c>
    </row>
    <row r="17" spans="1:6" ht="15.5">
      <c r="A17" s="37" t="s">
        <v>13</v>
      </c>
      <c r="B17" s="101">
        <v>52214</v>
      </c>
      <c r="C17" s="37"/>
      <c r="D17" s="97"/>
      <c r="E17" s="4"/>
      <c r="F17" s="37"/>
    </row>
    <row r="18" spans="1:6" ht="15.5">
      <c r="A18" s="4"/>
      <c r="B18" s="97"/>
      <c r="C18" s="37"/>
      <c r="D18" s="97">
        <v>425</v>
      </c>
      <c r="E18" s="4"/>
      <c r="F18" s="37" t="s">
        <v>12</v>
      </c>
    </row>
    <row r="19" spans="1:6" ht="15.5">
      <c r="A19" s="4"/>
      <c r="B19" s="97"/>
      <c r="C19" s="37"/>
      <c r="D19" s="97"/>
      <c r="E19" s="4"/>
      <c r="F19" s="37"/>
    </row>
    <row r="20" spans="1:6" ht="15.5">
      <c r="A20" s="37" t="s">
        <v>257</v>
      </c>
      <c r="B20" s="100">
        <v>631373</v>
      </c>
      <c r="C20" s="37"/>
      <c r="D20" s="100">
        <f>SUM(D13:D19)</f>
        <v>579590</v>
      </c>
      <c r="E20" s="4"/>
      <c r="F20" s="37" t="s">
        <v>64</v>
      </c>
    </row>
    <row r="21" spans="1:6" ht="15.5">
      <c r="A21" s="4"/>
      <c r="B21" s="95"/>
      <c r="C21" s="37"/>
      <c r="D21" s="97"/>
      <c r="E21" s="4"/>
      <c r="F21" s="37"/>
    </row>
    <row r="22" spans="1:6" ht="15.5">
      <c r="A22" s="36" t="s">
        <v>258</v>
      </c>
      <c r="B22" s="96">
        <f>+B10-B20</f>
        <v>101881</v>
      </c>
      <c r="C22" s="37"/>
      <c r="D22" s="100">
        <f>+D10-D20</f>
        <v>153664</v>
      </c>
      <c r="E22" s="36"/>
      <c r="F22" s="37" t="s">
        <v>65</v>
      </c>
    </row>
    <row r="23" spans="1:6" ht="15.5">
      <c r="A23" s="4"/>
      <c r="B23" s="98"/>
      <c r="C23" s="37"/>
      <c r="D23" s="97"/>
      <c r="E23" s="4"/>
      <c r="F23" s="37"/>
    </row>
    <row r="24" spans="1:12" ht="15.5">
      <c r="A24" s="4"/>
      <c r="B24" s="98"/>
      <c r="C24" s="37"/>
      <c r="D24" s="97">
        <f>50000*0.15</f>
        <v>7500</v>
      </c>
      <c r="E24" s="4"/>
      <c r="F24" s="37" t="s">
        <v>271</v>
      </c>
      <c r="L24" s="2"/>
    </row>
    <row r="25" spans="1:12" ht="15.5">
      <c r="A25" s="4"/>
      <c r="B25" s="98"/>
      <c r="C25" s="37"/>
      <c r="D25" s="97">
        <f>25000*0.25</f>
        <v>6250</v>
      </c>
      <c r="E25" s="4"/>
      <c r="F25" s="37" t="s">
        <v>272</v>
      </c>
      <c r="L25" s="2"/>
    </row>
    <row r="26" spans="1:12" ht="15.5">
      <c r="A26" s="4"/>
      <c r="B26" s="98"/>
      <c r="C26" s="37"/>
      <c r="D26" s="97">
        <f>25000*0.34</f>
        <v>8500</v>
      </c>
      <c r="E26" s="4"/>
      <c r="F26" s="37" t="s">
        <v>273</v>
      </c>
      <c r="L26" s="2"/>
    </row>
    <row r="27" spans="1:16" ht="15.5">
      <c r="A27" s="4"/>
      <c r="B27" s="98"/>
      <c r="C27" s="37"/>
      <c r="D27" s="97">
        <f>53664*0.39</f>
        <v>20928.96</v>
      </c>
      <c r="E27" s="4"/>
      <c r="F27" s="37" t="s">
        <v>274</v>
      </c>
      <c r="N27" s="2"/>
      <c r="P27" s="30"/>
    </row>
    <row r="28" spans="1:14" ht="15.5">
      <c r="A28" s="4"/>
      <c r="B28" s="98"/>
      <c r="C28" s="37"/>
      <c r="D28" s="97"/>
      <c r="E28" s="4"/>
      <c r="F28" s="37"/>
      <c r="L28" s="2"/>
      <c r="N28" s="2"/>
    </row>
    <row r="29" spans="1:14" ht="15.5">
      <c r="A29" s="4"/>
      <c r="B29" s="98"/>
      <c r="C29" s="37"/>
      <c r="D29" s="97"/>
      <c r="E29" s="4"/>
      <c r="F29" s="37"/>
      <c r="N29" s="2"/>
    </row>
    <row r="30" spans="1:6" ht="15.5">
      <c r="A30" s="4"/>
      <c r="B30" s="98"/>
      <c r="C30" s="37"/>
      <c r="D30" s="101">
        <v>-43179</v>
      </c>
      <c r="E30" s="4"/>
      <c r="F30" s="37"/>
    </row>
    <row r="31" spans="1:6" ht="15.5">
      <c r="A31" s="4"/>
      <c r="B31" s="98"/>
      <c r="C31" s="37"/>
      <c r="D31" s="97"/>
      <c r="E31" s="4"/>
      <c r="F31" s="37"/>
    </row>
    <row r="32" spans="1:6" ht="15.5">
      <c r="A32" s="4"/>
      <c r="B32" s="170">
        <f>+D32</f>
        <v>-425</v>
      </c>
      <c r="C32" s="9" t="s">
        <v>6</v>
      </c>
      <c r="D32" s="97">
        <v>-425</v>
      </c>
      <c r="E32" s="4"/>
      <c r="F32" s="37" t="s">
        <v>12</v>
      </c>
    </row>
    <row r="33" spans="1:6" ht="15.5">
      <c r="A33" s="4"/>
      <c r="B33" s="98"/>
      <c r="C33" s="37"/>
      <c r="D33" s="203"/>
      <c r="E33" s="4"/>
      <c r="F33" s="37"/>
    </row>
    <row r="34" spans="1:6" ht="16" thickBot="1">
      <c r="A34" s="36" t="s">
        <v>67</v>
      </c>
      <c r="B34" s="169">
        <f>+B22+B32</f>
        <v>101456</v>
      </c>
      <c r="C34" s="37"/>
      <c r="D34" s="92">
        <f>+D22+D30+D32</f>
        <v>110060</v>
      </c>
      <c r="E34" s="4"/>
      <c r="F34" s="37" t="s">
        <v>67</v>
      </c>
    </row>
    <row r="35" spans="1:6" ht="15" thickTop="1">
      <c r="A35" s="4"/>
      <c r="B35" s="4"/>
      <c r="C35" s="4"/>
      <c r="D35" s="4"/>
      <c r="E35" s="4"/>
      <c r="F35" s="4"/>
    </row>
    <row r="36" spans="1:4" ht="15.5">
      <c r="A36" s="37" t="s">
        <v>269</v>
      </c>
      <c r="C36" s="30"/>
      <c r="D36" s="30"/>
    </row>
    <row r="37" ht="15.5">
      <c r="A37" s="37" t="s">
        <v>276</v>
      </c>
    </row>
    <row r="38" ht="15.5">
      <c r="A38" s="3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K33"/>
  <sheetViews>
    <sheetView zoomScale="95" zoomScaleNormal="95" workbookViewId="0" topLeftCell="A1">
      <selection pane="topLeft" activeCell="O25" sqref="O25"/>
    </sheetView>
  </sheetViews>
  <sheetFormatPr defaultRowHeight="15"/>
  <cols>
    <col min="2" max="2" width="38.5714285714286" bestFit="1" customWidth="1"/>
    <col min="3" max="3" width="7.85714285714286" customWidth="1"/>
    <col min="4" max="4" width="9.14285714285714" hidden="1" customWidth="1"/>
    <col min="5" max="5" width="19" customWidth="1"/>
    <col min="6" max="6" width="5.14285714285714" customWidth="1"/>
    <col min="7" max="7" width="19" customWidth="1"/>
  </cols>
  <sheetData>
    <row r="2" spans="5:7" ht="15.5">
      <c r="E2" s="102" t="s">
        <v>70</v>
      </c>
      <c r="G2" s="38" t="s">
        <v>68</v>
      </c>
    </row>
    <row r="3" spans="5:7" ht="15.5">
      <c r="E3" s="102" t="s">
        <v>71</v>
      </c>
      <c r="G3" s="38" t="s">
        <v>69</v>
      </c>
    </row>
    <row r="4" ht="15" thickBot="1"/>
    <row r="5" spans="2:11" ht="16" thickTop="1">
      <c r="B5" s="37" t="s">
        <v>2</v>
      </c>
      <c r="C5" s="37"/>
      <c r="D5" s="37"/>
      <c r="E5" s="88" t="s">
        <v>1</v>
      </c>
      <c r="F5" s="199"/>
      <c r="G5" s="93" t="s">
        <v>1</v>
      </c>
      <c r="H5" s="4"/>
      <c r="I5" s="4"/>
      <c r="J5" s="4"/>
      <c r="K5" s="4"/>
    </row>
    <row r="6" spans="2:11" ht="15.5">
      <c r="B6" s="37"/>
      <c r="C6" s="37"/>
      <c r="D6" s="37"/>
      <c r="E6" s="197">
        <v>2018</v>
      </c>
      <c r="F6" s="89"/>
      <c r="G6" s="94">
        <v>2018</v>
      </c>
      <c r="H6" s="4"/>
      <c r="I6" s="4"/>
      <c r="J6" s="4"/>
      <c r="K6" s="4"/>
    </row>
    <row r="7" spans="2:11" ht="15.5">
      <c r="B7" s="37"/>
      <c r="C7" s="37"/>
      <c r="D7" s="37"/>
      <c r="E7" s="198"/>
      <c r="F7" s="89"/>
      <c r="G7" s="94"/>
      <c r="H7" s="4"/>
      <c r="I7" s="4"/>
      <c r="J7" s="4"/>
      <c r="K7" s="4"/>
    </row>
    <row r="8" spans="2:11" ht="15.5">
      <c r="B8" s="37" t="s">
        <v>3</v>
      </c>
      <c r="C8" s="37"/>
      <c r="D8" s="37"/>
      <c r="E8" s="97">
        <v>704730</v>
      </c>
      <c r="F8" s="90"/>
      <c r="G8" s="95">
        <v>704730</v>
      </c>
      <c r="H8" s="37" t="s">
        <v>3</v>
      </c>
      <c r="I8" s="4"/>
      <c r="J8" s="4"/>
      <c r="K8" s="4"/>
    </row>
    <row r="9" spans="2:11" ht="15.5">
      <c r="B9" s="37" t="s">
        <v>4</v>
      </c>
      <c r="C9" s="37"/>
      <c r="D9" s="37"/>
      <c r="E9" s="97"/>
      <c r="F9" s="90"/>
      <c r="G9" s="95"/>
      <c r="H9" s="37" t="s">
        <v>4</v>
      </c>
      <c r="I9" s="4"/>
      <c r="J9" s="4"/>
      <c r="K9" s="4"/>
    </row>
    <row r="10" spans="2:11" ht="15.5">
      <c r="B10" s="37"/>
      <c r="C10" s="37"/>
      <c r="D10" s="37"/>
      <c r="E10" s="97"/>
      <c r="F10" s="90"/>
      <c r="G10" s="95"/>
      <c r="H10" s="37"/>
      <c r="I10" s="4"/>
      <c r="J10" s="4"/>
      <c r="K10" s="4"/>
    </row>
    <row r="11" spans="2:11" ht="15.5">
      <c r="B11" s="37" t="s">
        <v>5</v>
      </c>
      <c r="C11" s="37"/>
      <c r="D11" s="9" t="s">
        <v>6</v>
      </c>
      <c r="E11" s="100">
        <v>704730</v>
      </c>
      <c r="F11" s="91"/>
      <c r="G11" s="96">
        <v>704730</v>
      </c>
      <c r="H11" s="37" t="s">
        <v>5</v>
      </c>
      <c r="I11" s="4"/>
      <c r="J11" s="4"/>
      <c r="K11" s="4"/>
    </row>
    <row r="12" spans="2:11" ht="15.5">
      <c r="B12" s="37"/>
      <c r="C12" s="37"/>
      <c r="D12" s="37"/>
      <c r="E12" s="97"/>
      <c r="F12" s="90"/>
      <c r="G12" s="95"/>
      <c r="H12" s="4"/>
      <c r="I12" s="4"/>
      <c r="J12" s="4"/>
      <c r="K12" s="4"/>
    </row>
    <row r="13" spans="2:11" ht="15.5">
      <c r="B13" s="37" t="s">
        <v>7</v>
      </c>
      <c r="C13" s="37"/>
      <c r="D13" s="37"/>
      <c r="E13" s="97"/>
      <c r="F13" s="90"/>
      <c r="G13" s="97"/>
      <c r="H13" s="37" t="s">
        <v>7</v>
      </c>
      <c r="I13" s="4"/>
      <c r="J13" s="4"/>
      <c r="K13" s="4"/>
    </row>
    <row r="14" spans="2:11" ht="15.5">
      <c r="B14" s="37" t="s">
        <v>8</v>
      </c>
      <c r="C14" s="37"/>
      <c r="D14" s="37"/>
      <c r="E14" s="97">
        <v>529981</v>
      </c>
      <c r="F14" s="90"/>
      <c r="G14" s="97">
        <v>529981</v>
      </c>
      <c r="H14" s="37" t="s">
        <v>8</v>
      </c>
      <c r="I14" s="4"/>
      <c r="J14" s="4"/>
      <c r="K14" s="4"/>
    </row>
    <row r="15" spans="2:11" ht="15.5">
      <c r="B15" s="37" t="s">
        <v>9</v>
      </c>
      <c r="C15" s="37"/>
      <c r="D15" s="37"/>
      <c r="E15" s="97">
        <v>68509</v>
      </c>
      <c r="F15" s="90"/>
      <c r="G15" s="97">
        <v>68509</v>
      </c>
      <c r="H15" s="37" t="s">
        <v>9</v>
      </c>
      <c r="I15" s="4"/>
      <c r="J15" s="4"/>
      <c r="K15" s="4"/>
    </row>
    <row r="16" spans="2:11" ht="15.5">
      <c r="B16" s="37" t="s">
        <v>10</v>
      </c>
      <c r="C16" s="37"/>
      <c r="D16" s="37"/>
      <c r="E16" s="97">
        <v>-5145</v>
      </c>
      <c r="F16" s="90"/>
      <c r="G16" s="97">
        <v>-5145</v>
      </c>
      <c r="H16" s="37" t="s">
        <v>10</v>
      </c>
      <c r="I16" s="4"/>
      <c r="J16" s="4"/>
      <c r="K16" s="4"/>
    </row>
    <row r="17" spans="2:11" ht="15.5">
      <c r="B17" s="37" t="s">
        <v>11</v>
      </c>
      <c r="C17" s="37"/>
      <c r="D17" s="37"/>
      <c r="E17" s="97">
        <v>70478</v>
      </c>
      <c r="F17" s="90"/>
      <c r="G17" s="97">
        <v>70478</v>
      </c>
      <c r="H17" s="37" t="s">
        <v>11</v>
      </c>
      <c r="I17" s="4"/>
      <c r="J17" s="4"/>
      <c r="K17" s="4"/>
    </row>
    <row r="18" spans="2:11" ht="15.5">
      <c r="B18" s="37"/>
      <c r="C18" s="37"/>
      <c r="D18" s="37"/>
      <c r="E18" s="97"/>
      <c r="F18" s="90"/>
      <c r="G18" s="101">
        <v>65177</v>
      </c>
      <c r="H18" s="37" t="s">
        <v>13</v>
      </c>
      <c r="I18" s="4"/>
      <c r="J18" s="4"/>
      <c r="K18" s="4"/>
    </row>
    <row r="19" spans="2:11" ht="15.5">
      <c r="B19" s="37" t="s">
        <v>12</v>
      </c>
      <c r="C19" s="37"/>
      <c r="D19" s="37"/>
      <c r="E19" s="97">
        <v>220</v>
      </c>
      <c r="F19" s="90"/>
      <c r="G19" s="97"/>
      <c r="H19" s="4"/>
      <c r="I19" s="4"/>
      <c r="J19" s="4"/>
      <c r="K19" s="4"/>
    </row>
    <row r="20" spans="2:11" ht="15.5">
      <c r="B20" s="37"/>
      <c r="C20" s="37"/>
      <c r="D20" s="37"/>
      <c r="E20" s="97"/>
      <c r="F20" s="90"/>
      <c r="G20" s="97"/>
      <c r="H20" s="4"/>
      <c r="I20" s="4"/>
      <c r="J20" s="4"/>
      <c r="K20" s="4"/>
    </row>
    <row r="21" spans="2:11" ht="15.5">
      <c r="B21" s="37" t="s">
        <v>64</v>
      </c>
      <c r="C21" s="37"/>
      <c r="D21" s="37"/>
      <c r="E21" s="100">
        <f>SUM(E14:E20)</f>
        <v>664043</v>
      </c>
      <c r="F21" s="91"/>
      <c r="G21" s="100">
        <f>SUM(G14:G20)</f>
        <v>729000</v>
      </c>
      <c r="H21" s="37" t="s">
        <v>14</v>
      </c>
      <c r="I21" s="4"/>
      <c r="J21" s="4"/>
      <c r="K21" s="4"/>
    </row>
    <row r="22" spans="2:11" ht="15.5">
      <c r="B22" s="37"/>
      <c r="C22" s="37"/>
      <c r="D22" s="37"/>
      <c r="E22" s="97"/>
      <c r="F22" s="90"/>
      <c r="G22" s="95"/>
      <c r="H22" s="4"/>
      <c r="I22" s="4"/>
      <c r="J22" s="4"/>
      <c r="K22" s="4"/>
    </row>
    <row r="23" spans="2:11" ht="15.5">
      <c r="B23" s="37" t="s">
        <v>65</v>
      </c>
      <c r="C23" s="37"/>
      <c r="D23" s="37"/>
      <c r="E23" s="100">
        <f>+E11-E21</f>
        <v>40687</v>
      </c>
      <c r="F23" s="91"/>
      <c r="G23" s="95">
        <f>+G11-G21</f>
        <v>-24270</v>
      </c>
      <c r="H23" s="36" t="s">
        <v>15</v>
      </c>
      <c r="I23" s="36"/>
      <c r="J23" s="36"/>
      <c r="K23" s="36"/>
    </row>
    <row r="24" spans="2:11" ht="15.5">
      <c r="B24" s="37"/>
      <c r="C24" s="37"/>
      <c r="D24" s="37"/>
      <c r="E24" s="97"/>
      <c r="F24" s="90"/>
      <c r="G24" s="98"/>
      <c r="H24" s="4"/>
      <c r="I24" s="4"/>
      <c r="J24" s="4"/>
      <c r="K24" s="4"/>
    </row>
    <row r="25" spans="2:11" ht="15.5">
      <c r="B25" s="37" t="s">
        <v>66</v>
      </c>
      <c r="C25" s="37"/>
      <c r="D25" s="37"/>
      <c r="E25" s="101">
        <f>+E23*0.21*-1</f>
        <v>-8544.27</v>
      </c>
      <c r="F25" s="90"/>
      <c r="G25" s="98"/>
      <c r="H25" s="4"/>
      <c r="I25" s="4"/>
      <c r="J25" s="4"/>
      <c r="K25" s="4"/>
    </row>
    <row r="26" spans="2:11" ht="15.5">
      <c r="B26" s="37"/>
      <c r="C26" s="37"/>
      <c r="D26" s="37"/>
      <c r="E26" s="97"/>
      <c r="F26" s="90"/>
      <c r="G26" s="98"/>
      <c r="H26" s="4"/>
      <c r="I26" s="4"/>
      <c r="J26" s="4"/>
      <c r="K26" s="4"/>
    </row>
    <row r="27" spans="2:11" ht="15.5">
      <c r="B27" s="37" t="s">
        <v>12</v>
      </c>
      <c r="C27" s="37"/>
      <c r="D27" s="9" t="s">
        <v>6</v>
      </c>
      <c r="E27" s="97">
        <v>-220</v>
      </c>
      <c r="F27" s="90"/>
      <c r="G27" s="98">
        <v>-220</v>
      </c>
      <c r="H27" s="4"/>
      <c r="I27" s="4"/>
      <c r="J27" s="4"/>
      <c r="K27" s="4"/>
    </row>
    <row r="28" spans="2:11" ht="15.5">
      <c r="B28" s="37"/>
      <c r="C28" s="37"/>
      <c r="D28" s="37"/>
      <c r="E28" s="97"/>
      <c r="F28" s="90"/>
      <c r="G28" s="98"/>
      <c r="H28" s="4"/>
      <c r="I28" s="4"/>
      <c r="J28" s="4"/>
      <c r="K28" s="4"/>
    </row>
    <row r="29" spans="2:11" ht="16" thickBot="1">
      <c r="B29" s="37" t="s">
        <v>67</v>
      </c>
      <c r="C29" s="37"/>
      <c r="D29" s="37"/>
      <c r="E29" s="92">
        <f>+E23+E25+E27</f>
        <v>31922.73</v>
      </c>
      <c r="F29" s="91"/>
      <c r="G29" s="99">
        <f>+G23+G27</f>
        <v>-24490</v>
      </c>
      <c r="H29" s="36" t="s">
        <v>67</v>
      </c>
      <c r="I29" s="4"/>
      <c r="J29" s="4"/>
      <c r="K29" s="4"/>
    </row>
    <row r="30" spans="2:11" ht="15" thickTop="1">
      <c r="B30" s="4"/>
      <c r="C30" s="4"/>
      <c r="D30" s="4"/>
      <c r="E30" s="4"/>
      <c r="F30" s="4"/>
      <c r="G30" s="4"/>
      <c r="H30" s="4"/>
      <c r="I30" s="4"/>
      <c r="J30" s="4"/>
      <c r="K30" s="4"/>
    </row>
    <row r="31" spans="2:6" ht="15.5">
      <c r="B31" s="37" t="s">
        <v>72</v>
      </c>
      <c r="C31" s="30"/>
      <c r="D31" s="30"/>
      <c r="E31" s="30"/>
      <c r="F31" s="30"/>
    </row>
    <row r="32" ht="15.5">
      <c r="B32" s="37" t="s">
        <v>224</v>
      </c>
    </row>
    <row r="33" ht="15.5">
      <c r="B33" s="37" t="s">
        <v>73</v>
      </c>
    </row>
  </sheetData>
  <pageMargins left="0.7" right="0.7" top="0.75" bottom="0.75" header="0.3" footer="0.3"/>
  <pageSetup orientation="portrait" scale="7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8073EBF2FD46442952BC0C513536CA0" ma:contentTypeVersion="24" ma:contentTypeDescription="" ma:contentTypeScope="" ma:versionID="84a5221d37bb84a7989655dc8f097a9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UW</Prefix>
    <DocumentSetType xmlns="dc463f71-b30c-4ab2-9473-d307f9d35888">Comment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160</IndustryCode>
    <CaseStatus xmlns="dc463f71-b30c-4ab2-9473-d307f9d35888">Closed</CaseStatus>
    <OpenedDate xmlns="dc463f71-b30c-4ab2-9473-d307f9d35888">2023-02-24T08:00:00+00:00</OpenedDate>
    <SignificantOrder xmlns="dc463f71-b30c-4ab2-9473-d307f9d35888">false</SignificantOrder>
    <Date1 xmlns="dc463f71-b30c-4ab2-9473-d307f9d35888">2023-12-04T08:00:00+00:00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Olympic Water and Sewer, Inc.</CaseCompanyNames>
    <Nickname xmlns="http://schemas.microsoft.com/sharepoint/v3" xsi:nil="true"/>
    <DocketNumber xmlns="dc463f71-b30c-4ab2-9473-d307f9d35888">230132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49F2765-6CA8-4808-A385-8A6C0F3B1013}"/>
</file>

<file path=customXml/itemProps2.xml><?xml version="1.0" encoding="utf-8"?>
<ds:datastoreItem xmlns:ds="http://schemas.openxmlformats.org/officeDocument/2006/customXml" ds:itemID="{87A5CFAB-F81C-42C1-8468-565B712AF6FF}"/>
</file>

<file path=customXml/itemProps3.xml><?xml version="1.0" encoding="utf-8"?>
<ds:datastoreItem xmlns:ds="http://schemas.openxmlformats.org/officeDocument/2006/customXml" ds:itemID="{66C25A8D-5C8C-4C90-B6C3-61D9427D51D3}"/>
</file>

<file path=customXml/itemProps4.xml><?xml version="1.0" encoding="utf-8"?>
<ds:datastoreItem xmlns:ds="http://schemas.openxmlformats.org/officeDocument/2006/customXml" ds:itemID="{6D42EF1E-F3F1-4A96-BBA8-1FA9815B16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ScaleCrop>false</ScaleCrop>
  <Template/>
  <Manager/>
  <Company>Hewlett-Packard</Company>
  <TotalTime>60</TotalTime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Allan</dc:creator>
  <cp:keywords/>
  <dc:description/>
  <cp:lastModifiedBy>Jurca, David F.</cp:lastModifiedBy>
  <cp:revision>1</cp:revision>
  <dcterms:created xsi:type="dcterms:W3CDTF">2023-12-04T20:09:02Z</dcterms:created>
  <dcterms:modified xsi:type="dcterms:W3CDTF">2023-12-04T20:09:02Z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0x0101006E56B4D1795A2E4DB2F0B01679ED314A00E8073EBF2FD46442952BC0C513536CA0</vt:lpwstr>
  </property>
  <property fmtid="{D5CDD505-2E9C-101B-9397-08002B2CF9AE}" pid="3" name="_docset_NoMedatataSyncRequired">
    <vt:lpwstr>False</vt:lpwstr>
  </property>
</Properties>
</file>