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7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ustomProperty5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externalLinks/externalLink1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-15" yWindow="-15" windowWidth="14520" windowHeight="14655" tabRatio="842"/>
  </bookViews>
  <sheets>
    <sheet name="1.01 ROR ROE" sheetId="20" r:id="rId1"/>
    <sheet name="1.02 COC" sheetId="21" r:id="rId2"/>
    <sheet name="model" sheetId="1" r:id="rId3"/>
    <sheet name="Earnings Sharing-CBR to Adj CBR" sheetId="51" r:id="rId4"/>
    <sheet name="Restating Print Macros" sheetId="2" state="veryHidden" r:id="rId5"/>
    <sheet name="Module13" sheetId="3" state="veryHidden" r:id="rId6"/>
    <sheet name="Module14" sheetId="4" state="veryHidden" r:id="rId7"/>
    <sheet name="Module15" sheetId="5" state="veryHidden" r:id="rId8"/>
    <sheet name="Module1" sheetId="6" state="very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.01_TempNorm">model!$A$1:$F$50</definedName>
    <definedName name="_3.02_RevExp">model!$G$1:$K$45</definedName>
    <definedName name="_3.03_FIT">model!$L$1:$N$32</definedName>
    <definedName name="_3.04_TBoRI">model!$O$1:$R$26</definedName>
    <definedName name="_3.05_PassThru">model!$S$1:$V$41</definedName>
    <definedName name="_3.06_RateCaseExp">model!$W$1:$AA$24</definedName>
    <definedName name="_3.07_BadDebt">model!$AB$1:$AH$29</definedName>
    <definedName name="_3.08_Incentives">model!$AI$4:$AM$23</definedName>
    <definedName name="_3.09_ExciseTax">model!$AN$1:$AQ$27</definedName>
    <definedName name="_3.10_DandO">model!$AR$1:$AV$24</definedName>
    <definedName name="_3.11_IntOnCustD">model!$AW$1:$AZ$26</definedName>
    <definedName name="_3.12_Pension">model!$BA$1:$BE$21</definedName>
    <definedName name="_3.13_InjAndDam">model!$BF$1:$BJ$20</definedName>
    <definedName name="_3.A">model!$CA$1:$CJ$57</definedName>
    <definedName name="_3.B">model!$CK$1:$CV$57</definedName>
    <definedName name="_3__123Graph_ABUDG6_Dtons_inv" hidden="1">[4]Quant!#REF!</definedName>
    <definedName name="_3__123Graph_BBUDG6_D_ESCRPR" hidden="1">[1]Quant!$D$72:$O$72</definedName>
    <definedName name="_4.01">model!$BU$1:$BY$30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hidden="1">{#N/A,#N/A,FALSE,"Summ";#N/A,#N/A,FALSE,"General"}</definedName>
    <definedName name="_FEDERAL_INCOME_TAX">model!$EI$21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Testyear">'[7]KJB-6,13 Cmn Adj'!$B$7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b" hidden="1">{#N/A,#N/A,FALSE,"Coversheet";#N/A,#N/A,FALSE,"QA"}</definedName>
    <definedName name="BD">[8]Summaries!$CQ$12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ASE">'[9]Named Ranges'!$C$4</definedName>
    <definedName name="Comp">'[9]Named Ranges'!$C$8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model!$G$7</definedName>
    <definedName name="DOCKETNUMBER">'[9]Named Ranges'!$C$6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DERAL_INCOME_TAX">model!$BX$23</definedName>
    <definedName name="FF">[8]Summaries!$CQ$13</definedName>
    <definedName name="ffff" hidden="1">{#N/A,#N/A,FALSE,"Coversheet";#N/A,#N/A,FALSE,"QA"}</definedName>
    <definedName name="fffgf" hidden="1">{#N/A,#N/A,FALSE,"Coversheet";#N/A,#N/A,FALSE,"QA"}</definedName>
    <definedName name="FIT">model!$BX$19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model!$CW$4:$JF$47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FITrate">'[8]Electric Earnings Sharing'!$L$20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3">'Earnings Sharing-CBR to Adj CBR'!$A$2:$I$21</definedName>
    <definedName name="_xlnm.Print_Area" localSheetId="2">model!$CC$14:$CC$66</definedName>
    <definedName name="PSPL">model!$G$4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SULTS_OF_OPERATIONS">model!$CW$2:$DA$57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TATE_UTILITY_TAX">model!$BS$20</definedName>
    <definedName name="sue" hidden="1">{#N/A,#N/A,FALSE,"Cover Sheet";"Use of Equipment",#N/A,FALSE,"Area C";"Equipment Hours",#N/A,FALSE,"All";"Summary",#N/A,FALSE,"All"}</definedName>
    <definedName name="SUMMARY">model!$CW$1:$DA$57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model!$A$6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TG">model!$CZ$14</definedName>
    <definedName name="UTN">[8]Summaries!$CQ$14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_1E45DDAB_A557_4269_B1F7_CCA75743796E_.wvu.PrintArea" localSheetId="2">model!$O$1:$R$24</definedName>
    <definedName name="Z_31DFCE0A_9DA6_4A87_B609_465F85B537E0_.wvu.PrintArea" localSheetId="2">model!$G$1:$K$59</definedName>
    <definedName name="Z_363BCC7B_365C_4862_8308_FD01127C4AC4_.wvu.PrintArea" localSheetId="2">model!$AN$1:$AQ$27</definedName>
    <definedName name="Z_3CBED636_2D45_404E_AAC8_3EE8AD1E87DC_.wvu.PrintArea" localSheetId="2">model!$BU$1:$BY$30</definedName>
    <definedName name="Z_5528C217_5C85_409E_BEF2_118EFA30D59F_.wvu.PrintArea" localSheetId="2">model!$BU$34:$BY$54</definedName>
    <definedName name="Z_6734E4FA_60B7_471C_AEFF_A65F9BB053D8_.wvu.PrintArea" localSheetId="2">model!$CA$1:$DA$58</definedName>
    <definedName name="Z_70410578_0BAB_407F_B45A_A1FD00E78914_.wvu.PrintArea" localSheetId="2">model!$S$1:$V$51</definedName>
    <definedName name="Z_833E8250_6973_4555_A9B1_5ACEC89F3481_.wvu.PrintArea" localSheetId="2">model!$AB$1:$AH$26</definedName>
    <definedName name="Z_9180F71E_9CF3_48FD_9127_9BC9888EC40C_.wvu.PrintArea" localSheetId="2">model!$BU$55:$BY$82</definedName>
    <definedName name="Z_DF51FD8A_8BA9_46B7_B455_DFD0D532E42D_.wvu.PrintArea" localSheetId="2">model!$L$1:$N$41</definedName>
    <definedName name="Z_F0C9B202_A28C_4D84_9483_9F8FC93D796D_.wvu.PrintArea" localSheetId="2">model!$BU$56:$BY$79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S37" i="1" l="1"/>
  <c r="BR20" i="1" l="1"/>
  <c r="BS20" i="1"/>
  <c r="BT20" i="1"/>
  <c r="BR21" i="1"/>
  <c r="BS21" i="1"/>
  <c r="BT21" i="1"/>
  <c r="BR22" i="1"/>
  <c r="BS22" i="1"/>
  <c r="BT22" i="1"/>
  <c r="BR23" i="1"/>
  <c r="BS23" i="1"/>
  <c r="BT23" i="1"/>
  <c r="BT16" i="1"/>
  <c r="BS16" i="1"/>
  <c r="BT15" i="1"/>
  <c r="BS15" i="1"/>
  <c r="BT14" i="1"/>
  <c r="BS14" i="1"/>
  <c r="BT13" i="1"/>
  <c r="BS13" i="1"/>
  <c r="BR13" i="1"/>
  <c r="BR14" i="1"/>
  <c r="BR15" i="1"/>
  <c r="BR16" i="1"/>
  <c r="D19" i="51" l="1"/>
  <c r="CE14" i="1" l="1"/>
  <c r="J38" i="1"/>
  <c r="K39" i="1"/>
  <c r="CE38" i="1" s="1"/>
  <c r="J15" i="1"/>
  <c r="D11" i="51" l="1"/>
  <c r="J14" i="1" l="1"/>
  <c r="CT51" i="1" l="1"/>
  <c r="CT53" i="1"/>
  <c r="CT28" i="1"/>
  <c r="CT35" i="1"/>
  <c r="CT40" i="1"/>
  <c r="BP21" i="1"/>
  <c r="BP22" i="1" s="1"/>
  <c r="BP23" i="1" s="1"/>
  <c r="BT17" i="1" l="1"/>
  <c r="BS17" i="1"/>
  <c r="BR17" i="1"/>
  <c r="CT34" i="1"/>
  <c r="CT52" i="1"/>
  <c r="F19" i="51"/>
  <c r="G19" i="51" s="1"/>
  <c r="H19" i="51" s="1"/>
  <c r="I19" i="51" s="1"/>
  <c r="E19" i="51"/>
  <c r="CT55" i="1" l="1"/>
  <c r="CT57" i="1" s="1"/>
  <c r="CR55" i="1"/>
  <c r="CR57" i="1" s="1"/>
  <c r="BM16" i="1"/>
  <c r="BM15" i="1"/>
  <c r="BM14" i="1"/>
  <c r="CC41" i="1" l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4" i="1"/>
  <c r="CC16" i="1"/>
  <c r="CC14" i="1"/>
  <c r="N25" i="1" l="1"/>
  <c r="N24" i="1"/>
  <c r="N23" i="1"/>
  <c r="N22" i="1"/>
  <c r="N18" i="1"/>
  <c r="N17" i="1"/>
  <c r="N16" i="1"/>
  <c r="N15" i="1"/>
  <c r="N12" i="1"/>
  <c r="V37" i="1" l="1"/>
  <c r="V36" i="1"/>
  <c r="V35" i="1"/>
  <c r="V34" i="1"/>
  <c r="V33" i="1"/>
  <c r="V32" i="1"/>
  <c r="V22" i="1"/>
  <c r="V21" i="1"/>
  <c r="V20" i="1"/>
  <c r="V19" i="1"/>
  <c r="V18" i="1"/>
  <c r="V17" i="1"/>
  <c r="V16" i="1"/>
  <c r="V15" i="1"/>
  <c r="V14" i="1"/>
  <c r="V13" i="1"/>
  <c r="AU12" i="1" l="1"/>
  <c r="AT12" i="1"/>
  <c r="J20" i="1" l="1"/>
  <c r="F17" i="21" l="1"/>
  <c r="E19" i="21"/>
  <c r="D17" i="21"/>
  <c r="C19" i="21"/>
  <c r="C17" i="21"/>
  <c r="E31" i="1" l="1"/>
  <c r="E32" i="1"/>
  <c r="E33" i="1"/>
  <c r="E34" i="1"/>
  <c r="E30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D15" i="1"/>
  <c r="C15" i="1"/>
  <c r="BD12" i="1" l="1"/>
  <c r="BC12" i="1"/>
  <c r="AG24" i="1" l="1"/>
  <c r="AF18" i="1"/>
  <c r="AG18" i="1"/>
  <c r="AE18" i="1"/>
  <c r="AD13" i="1"/>
  <c r="AE13" i="1"/>
  <c r="AF13" i="1"/>
  <c r="AG13" i="1"/>
  <c r="AD14" i="1"/>
  <c r="AE14" i="1"/>
  <c r="AF14" i="1"/>
  <c r="AG14" i="1"/>
  <c r="AG12" i="1"/>
  <c r="AE12" i="1"/>
  <c r="AF12" i="1"/>
  <c r="AD12" i="1"/>
  <c r="BY14" i="1"/>
  <c r="BX14" i="1"/>
  <c r="BY13" i="1"/>
  <c r="AL15" i="1" l="1"/>
  <c r="AK15" i="1"/>
  <c r="AL13" i="1"/>
  <c r="AK13" i="1"/>
  <c r="BN17" i="1" l="1"/>
  <c r="BM17" i="1"/>
  <c r="BO16" i="1"/>
  <c r="CS53" i="1" s="1"/>
  <c r="BO15" i="1"/>
  <c r="CS52" i="1" s="1"/>
  <c r="BO14" i="1"/>
  <c r="CS51" i="1" s="1"/>
  <c r="BK13" i="1"/>
  <c r="BK14" i="1" s="1"/>
  <c r="BK15" i="1" s="1"/>
  <c r="BK16" i="1" s="1"/>
  <c r="BK17" i="1" s="1"/>
  <c r="CS55" i="1" l="1"/>
  <c r="CS57" i="1" s="1"/>
  <c r="BO17" i="1"/>
  <c r="AQ17" i="1"/>
  <c r="AQ16" i="1"/>
  <c r="AQ13" i="1"/>
  <c r="AQ12" i="1"/>
  <c r="AZ12" i="1" l="1"/>
  <c r="Z17" i="1" l="1"/>
  <c r="Z14" i="1"/>
  <c r="Z16" i="1" s="1"/>
  <c r="CT46" i="1" l="1"/>
  <c r="CT66" i="1" s="1"/>
  <c r="CT26" i="1"/>
  <c r="CT42" i="1" s="1"/>
  <c r="CT17" i="1"/>
  <c r="CS46" i="1"/>
  <c r="CS66" i="1" s="1"/>
  <c r="CS26" i="1"/>
  <c r="CS42" i="1" s="1"/>
  <c r="BT2" i="1"/>
  <c r="BO2" i="1"/>
  <c r="BP13" i="1"/>
  <c r="BP14" i="1" s="1"/>
  <c r="BP15" i="1" s="1"/>
  <c r="BP16" i="1" s="1"/>
  <c r="BP17" i="1" s="1"/>
  <c r="BP7" i="1"/>
  <c r="BP6" i="1"/>
  <c r="BP4" i="1"/>
  <c r="BK7" i="1"/>
  <c r="BK6" i="1"/>
  <c r="BK4" i="1"/>
  <c r="CT44" i="1" l="1"/>
  <c r="CT65" i="1" s="1"/>
  <c r="CC54" i="1"/>
  <c r="CC53" i="1"/>
  <c r="CC56" i="1"/>
  <c r="CC52" i="1"/>
  <c r="CC51" i="1"/>
  <c r="BI13" i="1" l="1"/>
  <c r="BI12" i="1"/>
  <c r="BH13" i="1"/>
  <c r="BH12" i="1"/>
  <c r="E11" i="51" l="1"/>
  <c r="F11" i="51" s="1"/>
  <c r="G11" i="51" s="1"/>
  <c r="H11" i="51" s="1"/>
  <c r="I11" i="51" s="1"/>
  <c r="L13" i="1" l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N31" i="1" l="1"/>
  <c r="E15" i="1" l="1"/>
  <c r="E17" i="1"/>
  <c r="E19" i="1"/>
  <c r="E21" i="1"/>
  <c r="E23" i="1"/>
  <c r="E16" i="1"/>
  <c r="E20" i="1"/>
  <c r="E25" i="1"/>
  <c r="E24" i="1"/>
  <c r="E18" i="1"/>
  <c r="E22" i="1"/>
  <c r="E26" i="1"/>
  <c r="CG41" i="1" l="1"/>
  <c r="A2" i="20" l="1"/>
  <c r="AL20" i="1"/>
  <c r="BI17" i="1"/>
  <c r="AG28" i="1"/>
  <c r="Y23" i="1"/>
  <c r="Q23" i="1"/>
  <c r="A5" i="51"/>
  <c r="CR46" i="1" l="1"/>
  <c r="CR66" i="1" s="1"/>
  <c r="CR69" i="1" s="1"/>
  <c r="CI46" i="1"/>
  <c r="CI66" i="1" s="1"/>
  <c r="CI69" i="1" s="1"/>
  <c r="CD46" i="1"/>
  <c r="CD66" i="1" s="1"/>
  <c r="CD69" i="1" s="1"/>
  <c r="C21" i="21" l="1"/>
  <c r="E9" i="51"/>
  <c r="F9" i="51"/>
  <c r="H9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E17" i="21" l="1"/>
  <c r="D19" i="21"/>
  <c r="D41" i="1" l="1"/>
  <c r="I30" i="1"/>
  <c r="U27" i="1"/>
  <c r="D19" i="20" l="1"/>
  <c r="D21" i="20" s="1"/>
  <c r="AZ15" i="1"/>
  <c r="C27" i="1"/>
  <c r="D27" i="1"/>
  <c r="AH12" i="1"/>
  <c r="AV12" i="1"/>
  <c r="AV14" i="1" s="1"/>
  <c r="BC15" i="1"/>
  <c r="F39" i="1"/>
  <c r="CD24" i="1" s="1"/>
  <c r="AI13" i="1"/>
  <c r="AI14" i="1" s="1"/>
  <c r="AI15" i="1" s="1"/>
  <c r="AI16" i="1" s="1"/>
  <c r="AI17" i="1" s="1"/>
  <c r="AI18" i="1" s="1"/>
  <c r="AI19" i="1" s="1"/>
  <c r="AI20" i="1" s="1"/>
  <c r="AI21" i="1" s="1"/>
  <c r="F2" i="1"/>
  <c r="K2" i="1"/>
  <c r="BF13" i="1"/>
  <c r="BF14" i="1" s="1"/>
  <c r="BF15" i="1" s="1"/>
  <c r="BF16" i="1" s="1"/>
  <c r="BF17" i="1" s="1"/>
  <c r="BF18" i="1" s="1"/>
  <c r="BF19" i="1" s="1"/>
  <c r="BF7" i="1"/>
  <c r="BF4" i="1"/>
  <c r="W13" i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7" i="1"/>
  <c r="W4" i="1"/>
  <c r="CA6" i="1"/>
  <c r="CK6" i="1"/>
  <c r="AI7" i="1"/>
  <c r="AI4" i="1"/>
  <c r="CM55" i="1"/>
  <c r="CM57" i="1" s="1"/>
  <c r="CM46" i="1" s="1"/>
  <c r="CM66" i="1" s="1"/>
  <c r="CM69" i="1" s="1"/>
  <c r="CM26" i="1"/>
  <c r="D49" i="1"/>
  <c r="I43" i="1"/>
  <c r="AP24" i="1"/>
  <c r="BD18" i="1"/>
  <c r="AU18" i="1"/>
  <c r="CM17" i="1"/>
  <c r="CW6" i="1"/>
  <c r="AB13" i="1"/>
  <c r="AB14" i="1" s="1"/>
  <c r="AB15" i="1" s="1"/>
  <c r="AB16" i="1" s="1"/>
  <c r="AB17" i="1" s="1"/>
  <c r="AB18" i="1" s="1"/>
  <c r="AB19" i="1" s="1"/>
  <c r="G13" i="1"/>
  <c r="G14" i="1" s="1"/>
  <c r="G15" i="1" s="1"/>
  <c r="G16" i="1" s="1"/>
  <c r="G17" i="1" s="1"/>
  <c r="G18" i="1" s="1"/>
  <c r="G19" i="1" s="1"/>
  <c r="G20" i="1" s="1"/>
  <c r="G2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CF17" i="1"/>
  <c r="CJ17" i="1"/>
  <c r="CK14" i="1"/>
  <c r="CN17" i="1"/>
  <c r="CP17" i="1"/>
  <c r="CO17" i="1"/>
  <c r="CF26" i="1"/>
  <c r="CG26" i="1"/>
  <c r="CJ26" i="1"/>
  <c r="CN26" i="1"/>
  <c r="CP26" i="1"/>
  <c r="CQ26" i="1"/>
  <c r="CO26" i="1"/>
  <c r="S13" i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8" i="1" s="1"/>
  <c r="S39" i="1" s="1"/>
  <c r="S40" i="1" s="1"/>
  <c r="S41" i="1" s="1"/>
  <c r="S42" i="1" s="1"/>
  <c r="AR13" i="1"/>
  <c r="AR14" i="1" s="1"/>
  <c r="AR15" i="1" s="1"/>
  <c r="AR16" i="1" s="1"/>
  <c r="AR17" i="1" s="1"/>
  <c r="AR18" i="1" s="1"/>
  <c r="AR19" i="1" s="1"/>
  <c r="AR20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BU13" i="1"/>
  <c r="BU14" i="1" s="1"/>
  <c r="BU15" i="1" s="1"/>
  <c r="BU16" i="1" s="1"/>
  <c r="CO55" i="1"/>
  <c r="CO57" i="1" s="1"/>
  <c r="CO46" i="1" s="1"/>
  <c r="CO66" i="1" s="1"/>
  <c r="CO69" i="1" s="1"/>
  <c r="BA13" i="1"/>
  <c r="BA14" i="1" s="1"/>
  <c r="BA15" i="1" s="1"/>
  <c r="BA16" i="1" s="1"/>
  <c r="BA17" i="1" s="1"/>
  <c r="BA18" i="1" s="1"/>
  <c r="BA19" i="1" s="1"/>
  <c r="BA20" i="1" s="1"/>
  <c r="BA7" i="1"/>
  <c r="BA4" i="1"/>
  <c r="CQ55" i="1"/>
  <c r="CQ57" i="1" s="1"/>
  <c r="CQ46" i="1" s="1"/>
  <c r="CQ66" i="1" s="1"/>
  <c r="CQ69" i="1" s="1"/>
  <c r="AW13" i="1"/>
  <c r="AW14" i="1" s="1"/>
  <c r="AW15" i="1" s="1"/>
  <c r="AW7" i="1"/>
  <c r="AW4" i="1"/>
  <c r="AT14" i="1"/>
  <c r="AR7" i="1"/>
  <c r="AR4" i="1"/>
  <c r="CN55" i="1"/>
  <c r="CN57" i="1" s="1"/>
  <c r="CN46" i="1" s="1"/>
  <c r="CN66" i="1" s="1"/>
  <c r="CN69" i="1" s="1"/>
  <c r="CW14" i="1"/>
  <c r="CW15" i="1" s="1"/>
  <c r="CW16" i="1" s="1"/>
  <c r="CA14" i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P55" i="1"/>
  <c r="CP57" i="1" s="1"/>
  <c r="CP46" i="1" s="1"/>
  <c r="CP66" i="1" s="1"/>
  <c r="CP69" i="1" s="1"/>
  <c r="AN7" i="1"/>
  <c r="AN4" i="1"/>
  <c r="CJ55" i="1"/>
  <c r="CJ57" i="1" s="1"/>
  <c r="CJ46" i="1" s="1"/>
  <c r="CJ66" i="1" s="1"/>
  <c r="CJ69" i="1" s="1"/>
  <c r="CG55" i="1"/>
  <c r="CG57" i="1" s="1"/>
  <c r="CG46" i="1" s="1"/>
  <c r="CG66" i="1" s="1"/>
  <c r="CG69" i="1" s="1"/>
  <c r="CF55" i="1"/>
  <c r="CF57" i="1" s="1"/>
  <c r="CF46" i="1" s="1"/>
  <c r="CF66" i="1" s="1"/>
  <c r="CF69" i="1" s="1"/>
  <c r="CE55" i="1"/>
  <c r="CE57" i="1" s="1"/>
  <c r="CE46" i="1" s="1"/>
  <c r="CE66" i="1" s="1"/>
  <c r="CE69" i="1" s="1"/>
  <c r="O7" i="1"/>
  <c r="O4" i="1"/>
  <c r="S7" i="1"/>
  <c r="S4" i="1"/>
  <c r="AB7" i="1"/>
  <c r="CX15" i="1"/>
  <c r="CW3" i="1"/>
  <c r="L7" i="1"/>
  <c r="L4" i="1"/>
  <c r="BU4" i="1"/>
  <c r="AB4" i="1"/>
  <c r="BU7" i="1"/>
  <c r="CX44" i="1"/>
  <c r="CE26" i="1"/>
  <c r="CP31" i="1"/>
  <c r="AU14" i="1"/>
  <c r="AH13" i="1"/>
  <c r="BJ12" i="1"/>
  <c r="AH14" i="1"/>
  <c r="F35" i="1"/>
  <c r="N2" i="1"/>
  <c r="R2" i="1"/>
  <c r="V2" i="1"/>
  <c r="AA2" i="1"/>
  <c r="AH2" i="1"/>
  <c r="AQ2" i="1"/>
  <c r="AZ2" i="1"/>
  <c r="BE2" i="1"/>
  <c r="AV2" i="1"/>
  <c r="BJ2" i="1"/>
  <c r="AM2" i="1"/>
  <c r="K16" i="1"/>
  <c r="BE12" i="1"/>
  <c r="BE15" i="1" s="1"/>
  <c r="BD15" i="1"/>
  <c r="CY15" i="1"/>
  <c r="CW17" i="1" l="1"/>
  <c r="CW21" i="1" s="1"/>
  <c r="CW22" i="1" s="1"/>
  <c r="CW23" i="1" s="1"/>
  <c r="CW24" i="1" s="1"/>
  <c r="CW25" i="1" s="1"/>
  <c r="CW26" i="1" s="1"/>
  <c r="CW27" i="1" s="1"/>
  <c r="CW28" i="1" s="1"/>
  <c r="CW29" i="1" s="1"/>
  <c r="CW30" i="1" s="1"/>
  <c r="CW31" i="1" s="1"/>
  <c r="CW32" i="1" s="1"/>
  <c r="CW33" i="1" s="1"/>
  <c r="CW34" i="1" s="1"/>
  <c r="CW35" i="1" s="1"/>
  <c r="CW36" i="1" s="1"/>
  <c r="CW37" i="1" s="1"/>
  <c r="CW38" i="1" s="1"/>
  <c r="CW39" i="1" s="1"/>
  <c r="CW40" i="1" s="1"/>
  <c r="CW41" i="1" s="1"/>
  <c r="CW42" i="1" s="1"/>
  <c r="CW43" i="1" s="1"/>
  <c r="CW44" i="1" s="1"/>
  <c r="CW45" i="1" s="1"/>
  <c r="CW46" i="1" s="1"/>
  <c r="CS17" i="1"/>
  <c r="CS44" i="1" s="1"/>
  <c r="CS65" i="1" s="1"/>
  <c r="CK15" i="1"/>
  <c r="CP42" i="1"/>
  <c r="CP44" i="1" s="1"/>
  <c r="CP65" i="1" s="1"/>
  <c r="CP68" i="1" s="1"/>
  <c r="G9" i="51"/>
  <c r="CW47" i="1"/>
  <c r="CW48" i="1" s="1"/>
  <c r="CW49" i="1" s="1"/>
  <c r="CW50" i="1" s="1"/>
  <c r="CW51" i="1" s="1"/>
  <c r="CW52" i="1" s="1"/>
  <c r="CW53" i="1" s="1"/>
  <c r="CW54" i="1" s="1"/>
  <c r="CW55" i="1" s="1"/>
  <c r="CW56" i="1" s="1"/>
  <c r="CW57" i="1" s="1"/>
  <c r="AB20" i="1"/>
  <c r="AB21" i="1" s="1"/>
  <c r="AB22" i="1" s="1"/>
  <c r="AB23" i="1" s="1"/>
  <c r="AB24" i="1" s="1"/>
  <c r="AB25" i="1" s="1"/>
  <c r="AB26" i="1" s="1"/>
  <c r="AB27" i="1" s="1"/>
  <c r="AB28" i="1" s="1"/>
  <c r="AB29" i="1" s="1"/>
  <c r="E41" i="1"/>
  <c r="CD34" i="1" s="1"/>
  <c r="CD14" i="1"/>
  <c r="E27" i="1"/>
  <c r="G22" i="1"/>
  <c r="G23" i="1" s="1"/>
  <c r="CD26" i="1"/>
  <c r="BU17" i="1"/>
  <c r="BE17" i="1"/>
  <c r="CQ34" i="1"/>
  <c r="CO34" i="1"/>
  <c r="AV16" i="1"/>
  <c r="AH16" i="1"/>
  <c r="BY12" i="1" s="1"/>
  <c r="BP18" i="1" l="1"/>
  <c r="BU18" i="1"/>
  <c r="BU19" i="1" s="1"/>
  <c r="BU20" i="1" s="1"/>
  <c r="CK16" i="1"/>
  <c r="CG17" i="1" s="1"/>
  <c r="CU15" i="1"/>
  <c r="CV15" i="1" s="1"/>
  <c r="AG21" i="1"/>
  <c r="G24" i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CZ15" i="1"/>
  <c r="BP19" i="1"/>
  <c r="BE18" i="1"/>
  <c r="CQ40" i="1" s="1"/>
  <c r="CQ42" i="1" s="1"/>
  <c r="AV18" i="1"/>
  <c r="CO40" i="1" s="1"/>
  <c r="CO42" i="1" s="1"/>
  <c r="CO44" i="1" s="1"/>
  <c r="CO65" i="1" s="1"/>
  <c r="CO68" i="1" s="1"/>
  <c r="CK17" i="1" l="1"/>
  <c r="BP20" i="1"/>
  <c r="F19" i="21"/>
  <c r="C20" i="20"/>
  <c r="E20" i="20" s="1"/>
  <c r="D21" i="21"/>
  <c r="DA15" i="1"/>
  <c r="BE20" i="1"/>
  <c r="AV20" i="1"/>
  <c r="CK21" i="1" l="1"/>
  <c r="CK22" i="1" s="1"/>
  <c r="CK23" i="1" s="1"/>
  <c r="CK24" i="1" s="1"/>
  <c r="Q16" i="1"/>
  <c r="F21" i="21"/>
  <c r="CK25" i="1" l="1"/>
  <c r="CK26" i="1" l="1"/>
  <c r="CU25" i="1"/>
  <c r="CK27" i="1" l="1"/>
  <c r="CK28" i="1" s="1"/>
  <c r="CK29" i="1" l="1"/>
  <c r="CU29" i="1" l="1"/>
  <c r="CZ29" i="1" s="1"/>
  <c r="CK30" i="1"/>
  <c r="CU30" i="1" l="1"/>
  <c r="CZ30" i="1" s="1"/>
  <c r="CK31" i="1"/>
  <c r="CK32" i="1" s="1"/>
  <c r="CK33" i="1" l="1"/>
  <c r="CK34" i="1" l="1"/>
  <c r="CK35" i="1" s="1"/>
  <c r="CU35" i="1" l="1"/>
  <c r="CZ35" i="1" s="1"/>
  <c r="CK36" i="1"/>
  <c r="CU36" i="1" l="1"/>
  <c r="CZ36" i="1" s="1"/>
  <c r="CK37" i="1"/>
  <c r="CY54" i="1"/>
  <c r="CU37" i="1" l="1"/>
  <c r="CZ37" i="1" s="1"/>
  <c r="CK38" i="1"/>
  <c r="CY53" i="1"/>
  <c r="CY52" i="1"/>
  <c r="CU38" i="1" l="1"/>
  <c r="CZ38" i="1" s="1"/>
  <c r="CK39" i="1"/>
  <c r="CK40" i="1" s="1"/>
  <c r="CK41" i="1" s="1"/>
  <c r="CY51" i="1"/>
  <c r="CC55" i="1"/>
  <c r="CK42" i="1" l="1"/>
  <c r="CK43" i="1" s="1"/>
  <c r="CK44" i="1" s="1"/>
  <c r="CK45" i="1" s="1"/>
  <c r="CK46" i="1" s="1"/>
  <c r="CK47" i="1" s="1"/>
  <c r="CK48" i="1" s="1"/>
  <c r="CK49" i="1" s="1"/>
  <c r="CK50" i="1" s="1"/>
  <c r="CK51" i="1" s="1"/>
  <c r="CY55" i="1"/>
  <c r="CK52" i="1" l="1"/>
  <c r="CU51" i="1"/>
  <c r="CY56" i="1"/>
  <c r="CC57" i="1"/>
  <c r="CC46" i="1" l="1"/>
  <c r="CC66" i="1" s="1"/>
  <c r="CC69" i="1" s="1"/>
  <c r="CK53" i="1"/>
  <c r="CU52" i="1"/>
  <c r="CY46" i="1"/>
  <c r="CY66" i="1" s="1"/>
  <c r="CY69" i="1" s="1"/>
  <c r="CY57" i="1"/>
  <c r="CZ52" i="1" l="1"/>
  <c r="DA52" i="1" s="1"/>
  <c r="CV52" i="1"/>
  <c r="CU53" i="1"/>
  <c r="CK54" i="1"/>
  <c r="AM13" i="1"/>
  <c r="CU54" i="1" l="1"/>
  <c r="CK55" i="1"/>
  <c r="CZ53" i="1"/>
  <c r="DA53" i="1" s="1"/>
  <c r="CV53" i="1"/>
  <c r="CM34" i="1"/>
  <c r="CK56" i="1" l="1"/>
  <c r="CZ54" i="1"/>
  <c r="DA54" i="1" s="1"/>
  <c r="CV54" i="1"/>
  <c r="U26" i="1"/>
  <c r="D40" i="1"/>
  <c r="E40" i="1" s="1"/>
  <c r="CD31" i="1" s="1"/>
  <c r="I29" i="1"/>
  <c r="CU56" i="1" l="1"/>
  <c r="CK57" i="1"/>
  <c r="F42" i="1"/>
  <c r="D44" i="1"/>
  <c r="E44" i="1" s="1"/>
  <c r="CD39" i="1" s="1"/>
  <c r="U28" i="1"/>
  <c r="I33" i="1"/>
  <c r="BY16" i="1"/>
  <c r="BY18" i="1" l="1"/>
  <c r="BY19" i="1" s="1"/>
  <c r="BY20" i="1" s="1"/>
  <c r="CZ56" i="1"/>
  <c r="DA56" i="1" s="1"/>
  <c r="CV56" i="1"/>
  <c r="F45" i="1"/>
  <c r="F47" i="1" s="1"/>
  <c r="F49" i="1" s="1"/>
  <c r="CD40" i="1" l="1"/>
  <c r="F50" i="1"/>
  <c r="CD42" i="1" l="1"/>
  <c r="AK16" i="1" l="1"/>
  <c r="AM15" i="1" l="1"/>
  <c r="AL16" i="1"/>
  <c r="CM39" i="1" l="1"/>
  <c r="AM16" i="1"/>
  <c r="AM18" i="1" s="1"/>
  <c r="AM20" i="1" l="1"/>
  <c r="CM40" i="1" s="1"/>
  <c r="CM42" i="1" s="1"/>
  <c r="CM44" i="1" s="1"/>
  <c r="CM65" i="1" s="1"/>
  <c r="CM68" i="1" s="1"/>
  <c r="AM21" i="1" l="1"/>
  <c r="AQ18" i="1" l="1"/>
  <c r="CN34" i="1" s="1"/>
  <c r="Z18" i="1" l="1"/>
  <c r="AA18" i="1" s="1"/>
  <c r="AA21" i="1" s="1"/>
  <c r="AA23" i="1" l="1"/>
  <c r="CI40" i="1" s="1"/>
  <c r="CI34" i="1"/>
  <c r="CI42" i="1" l="1"/>
  <c r="CI44" i="1" s="1"/>
  <c r="AA24" i="1"/>
  <c r="CI65" i="1" l="1"/>
  <c r="CI68" i="1" s="1"/>
  <c r="F13" i="51"/>
  <c r="CV51" i="1" l="1"/>
  <c r="CV55" i="1" s="1"/>
  <c r="CV57" i="1" s="1"/>
  <c r="CZ51" i="1"/>
  <c r="CH55" i="1"/>
  <c r="CH57" i="1" l="1"/>
  <c r="CU55" i="1"/>
  <c r="CZ55" i="1"/>
  <c r="CZ57" i="1" s="1"/>
  <c r="DA51" i="1"/>
  <c r="CH46" i="1" l="1"/>
  <c r="CH66" i="1" s="1"/>
  <c r="CH69" i="1" s="1"/>
  <c r="CU57" i="1"/>
  <c r="CU46" i="1" s="1"/>
  <c r="CU66" i="1" s="1"/>
  <c r="CU69" i="1" s="1"/>
  <c r="DA55" i="1"/>
  <c r="DA57" i="1" s="1"/>
  <c r="CZ46" i="1" l="1"/>
  <c r="CZ66" i="1" s="1"/>
  <c r="CZ69" i="1" s="1"/>
  <c r="CV46" i="1"/>
  <c r="CV66" i="1" s="1"/>
  <c r="CV69" i="1" s="1"/>
  <c r="DA46" i="1" l="1"/>
  <c r="Q12" i="1" s="1"/>
  <c r="DA66" i="1"/>
  <c r="DA69" i="1" s="1"/>
  <c r="Q14" i="1"/>
  <c r="D10" i="51" l="1"/>
  <c r="R17" i="1"/>
  <c r="C8" i="20"/>
  <c r="C16" i="20"/>
  <c r="D12" i="51"/>
  <c r="E10" i="51"/>
  <c r="C19" i="20" l="1"/>
  <c r="C21" i="20" s="1"/>
  <c r="R21" i="1"/>
  <c r="R23" i="1" s="1"/>
  <c r="E8" i="20"/>
  <c r="E19" i="20" s="1"/>
  <c r="E21" i="20" s="1"/>
  <c r="E16" i="20"/>
  <c r="F10" i="51"/>
  <c r="E12" i="51"/>
  <c r="R24" i="1"/>
  <c r="CG40" i="1"/>
  <c r="CG42" i="1" l="1"/>
  <c r="F12" i="51"/>
  <c r="G10" i="51"/>
  <c r="CG44" i="1" l="1"/>
  <c r="CG65" i="1" s="1"/>
  <c r="CG68" i="1" s="1"/>
  <c r="G12" i="51"/>
  <c r="H10" i="51"/>
  <c r="I10" i="51" l="1"/>
  <c r="I12" i="51" s="1"/>
  <c r="H12" i="51"/>
  <c r="O6" i="1" l="1"/>
  <c r="L6" i="1"/>
  <c r="BF6" i="1"/>
  <c r="BU6" i="1"/>
  <c r="A7" i="21"/>
  <c r="AW6" i="1"/>
  <c r="AI6" i="1"/>
  <c r="BA6" i="1"/>
  <c r="W6" i="1"/>
  <c r="CK5" i="1"/>
  <c r="CA5" i="1"/>
  <c r="AN6" i="1"/>
  <c r="S6" i="1"/>
  <c r="AR6" i="1"/>
  <c r="AB6" i="1"/>
  <c r="G6" i="1"/>
  <c r="CW5" i="1"/>
  <c r="AQ14" i="1" l="1"/>
  <c r="AQ20" i="1" l="1"/>
  <c r="AQ22" i="1"/>
  <c r="CN39" i="1"/>
  <c r="AQ24" i="1" l="1"/>
  <c r="CN40" i="1" s="1"/>
  <c r="AQ26" i="1" l="1"/>
  <c r="CN42" i="1"/>
  <c r="CN44" i="1" s="1"/>
  <c r="CN65" i="1" s="1"/>
  <c r="CN68" i="1" s="1"/>
  <c r="CY40" i="1" l="1"/>
  <c r="CY37" i="1"/>
  <c r="DA37" i="1" s="1"/>
  <c r="CV37" i="1"/>
  <c r="CY33" i="1"/>
  <c r="CY30" i="1" l="1"/>
  <c r="DA30" i="1" s="1"/>
  <c r="CV30" i="1"/>
  <c r="CC26" i="1"/>
  <c r="CY24" i="1"/>
  <c r="CY16" i="1"/>
  <c r="CC17" i="1"/>
  <c r="CY14" i="1"/>
  <c r="CY28" i="1"/>
  <c r="CV29" i="1"/>
  <c r="CY29" i="1"/>
  <c r="DA29" i="1" s="1"/>
  <c r="CY38" i="1"/>
  <c r="DA38" i="1" s="1"/>
  <c r="CV38" i="1"/>
  <c r="CY26" i="1" l="1"/>
  <c r="CY32" i="1"/>
  <c r="CY17" i="1"/>
  <c r="CY41" i="1" l="1"/>
  <c r="CY39" i="1"/>
  <c r="CY34" i="1" l="1"/>
  <c r="CY31" i="1"/>
  <c r="CC42" i="1"/>
  <c r="CC44" i="1" s="1"/>
  <c r="CY36" i="1"/>
  <c r="DA36" i="1" s="1"/>
  <c r="CV36" i="1"/>
  <c r="CY35" i="1"/>
  <c r="DA35" i="1" s="1"/>
  <c r="CV35" i="1"/>
  <c r="CC65" i="1" l="1"/>
  <c r="CC68" i="1" s="1"/>
  <c r="CC48" i="1"/>
  <c r="CY48" i="1" s="1"/>
  <c r="CY42" i="1"/>
  <c r="CY44" i="1" s="1"/>
  <c r="CY65" i="1" s="1"/>
  <c r="CY68" i="1" s="1"/>
  <c r="N30" i="1" l="1"/>
  <c r="CF41" i="1" s="1"/>
  <c r="CU41" i="1" s="1"/>
  <c r="CZ41" i="1" l="1"/>
  <c r="DA41" i="1" s="1"/>
  <c r="CV41" i="1"/>
  <c r="AG20" i="1" l="1"/>
  <c r="AG22" i="1" l="1"/>
  <c r="AH25" i="1" s="1"/>
  <c r="CJ31" i="1" s="1"/>
  <c r="AH27" i="1" l="1"/>
  <c r="AH28" i="1"/>
  <c r="CJ40" i="1" s="1"/>
  <c r="CJ42" i="1" s="1"/>
  <c r="CJ44" i="1" s="1"/>
  <c r="CJ65" i="1" s="1"/>
  <c r="CJ68" i="1" s="1"/>
  <c r="AH29" i="1" l="1"/>
  <c r="G13" i="51"/>
  <c r="BH14" i="1" l="1"/>
  <c r="BJ13" i="1" l="1"/>
  <c r="BJ14" i="1" s="1"/>
  <c r="BJ16" i="1" s="1"/>
  <c r="BI14" i="1"/>
  <c r="CR34" i="1" l="1"/>
  <c r="BJ17" i="1"/>
  <c r="CR40" i="1" s="1"/>
  <c r="BJ19" i="1" l="1"/>
  <c r="CR42" i="1"/>
  <c r="N27" i="1" l="1"/>
  <c r="N29" i="1" l="1"/>
  <c r="N19" i="1"/>
  <c r="CF40" i="1" l="1"/>
  <c r="N32" i="1"/>
  <c r="CF42" i="1" l="1"/>
  <c r="CF44" i="1" s="1"/>
  <c r="CF65" i="1" l="1"/>
  <c r="CF68" i="1" s="1"/>
  <c r="CH28" i="1"/>
  <c r="CU28" i="1" s="1"/>
  <c r="CH24" i="1"/>
  <c r="CU24" i="1" s="1"/>
  <c r="CH33" i="1"/>
  <c r="CU33" i="1" s="1"/>
  <c r="CH16" i="1"/>
  <c r="CD17" i="1" s="1"/>
  <c r="CD44" i="1" s="1"/>
  <c r="CD65" i="1" l="1"/>
  <c r="CD68" i="1" s="1"/>
  <c r="E13" i="51"/>
  <c r="CZ33" i="1"/>
  <c r="DA33" i="1" s="1"/>
  <c r="CV33" i="1"/>
  <c r="CH26" i="1"/>
  <c r="CZ28" i="1"/>
  <c r="DA28" i="1" s="1"/>
  <c r="CV28" i="1"/>
  <c r="CU26" i="1" l="1"/>
  <c r="CV26" i="1" s="1"/>
  <c r="CZ24" i="1"/>
  <c r="CV24" i="1"/>
  <c r="CH32" i="1"/>
  <c r="CU32" i="1" s="1"/>
  <c r="V38" i="1"/>
  <c r="CZ26" i="1" l="1"/>
  <c r="DA24" i="1"/>
  <c r="DA26" i="1" s="1"/>
  <c r="CZ32" i="1"/>
  <c r="DA32" i="1" s="1"/>
  <c r="CV32" i="1"/>
  <c r="K25" i="1" l="1"/>
  <c r="CE16" i="1" l="1"/>
  <c r="CU16" i="1" s="1"/>
  <c r="CQ17" i="1" s="1"/>
  <c r="CQ44" i="1" s="1"/>
  <c r="CQ65" i="1" s="1"/>
  <c r="CQ68" i="1" s="1"/>
  <c r="K27" i="1"/>
  <c r="J30" i="1" l="1"/>
  <c r="CE34" i="1" s="1"/>
  <c r="J29" i="1"/>
  <c r="J33" i="1"/>
  <c r="CE17" i="1"/>
  <c r="CE31" i="1" l="1"/>
  <c r="K31" i="1"/>
  <c r="CZ16" i="1"/>
  <c r="CV16" i="1"/>
  <c r="CR17" i="1" s="1"/>
  <c r="CR44" i="1" s="1"/>
  <c r="CE39" i="1"/>
  <c r="K35" i="1"/>
  <c r="K41" i="1" l="1"/>
  <c r="K43" i="1" s="1"/>
  <c r="CE40" i="1" s="1"/>
  <c r="CR65" i="1"/>
  <c r="CR68" i="1" s="1"/>
  <c r="H13" i="51"/>
  <c r="DA16" i="1"/>
  <c r="K45" i="1" l="1"/>
  <c r="CE42" i="1"/>
  <c r="CE44" i="1" s="1"/>
  <c r="CE65" i="1" l="1"/>
  <c r="CE68" i="1" s="1"/>
  <c r="CH14" i="1"/>
  <c r="CU14" i="1" s="1"/>
  <c r="V23" i="1"/>
  <c r="CH17" i="1" l="1"/>
  <c r="CU17" i="1" l="1"/>
  <c r="CV17" i="1" s="1"/>
  <c r="CV14" i="1"/>
  <c r="CZ14" i="1"/>
  <c r="DA14" i="1" l="1"/>
  <c r="DA17" i="1" s="1"/>
  <c r="CZ17" i="1"/>
  <c r="V26" i="1" l="1"/>
  <c r="CH31" i="1" l="1"/>
  <c r="CU31" i="1" l="1"/>
  <c r="CZ31" i="1" l="1"/>
  <c r="CV31" i="1"/>
  <c r="DA31" i="1" l="1"/>
  <c r="V27" i="1" l="1"/>
  <c r="V28" i="1"/>
  <c r="CH39" i="1" s="1"/>
  <c r="CU39" i="1" s="1"/>
  <c r="CZ39" i="1" l="1"/>
  <c r="DA39" i="1" s="1"/>
  <c r="CV39" i="1"/>
  <c r="CH34" i="1"/>
  <c r="V29" i="1"/>
  <c r="V40" i="1" s="1"/>
  <c r="V41" i="1" l="1"/>
  <c r="CH40" i="1" s="1"/>
  <c r="CU34" i="1"/>
  <c r="V42" i="1" l="1"/>
  <c r="CU40" i="1"/>
  <c r="CV40" i="1" s="1"/>
  <c r="CH42" i="1"/>
  <c r="CH44" i="1" s="1"/>
  <c r="CV34" i="1"/>
  <c r="CZ34" i="1"/>
  <c r="CU42" i="1"/>
  <c r="CU44" i="1" s="1"/>
  <c r="CU65" i="1" s="1"/>
  <c r="CU68" i="1" s="1"/>
  <c r="CZ40" i="1" l="1"/>
  <c r="DA40" i="1" s="1"/>
  <c r="CH65" i="1"/>
  <c r="CH68" i="1" s="1"/>
  <c r="CV42" i="1"/>
  <c r="CV44" i="1" s="1"/>
  <c r="CV65" i="1" s="1"/>
  <c r="CV68" i="1" s="1"/>
  <c r="DA34" i="1"/>
  <c r="DA42" i="1" s="1"/>
  <c r="DA44" i="1" s="1"/>
  <c r="CZ42" i="1"/>
  <c r="CZ44" i="1" s="1"/>
  <c r="CZ65" i="1" s="1"/>
  <c r="CZ68" i="1" s="1"/>
  <c r="CV48" i="1" l="1"/>
  <c r="DA48" i="1"/>
  <c r="DA65" i="1"/>
  <c r="DA68" i="1" s="1"/>
  <c r="C7" i="20"/>
  <c r="D14" i="51"/>
  <c r="C15" i="20" l="1"/>
  <c r="C10" i="20"/>
  <c r="D22" i="51"/>
  <c r="E14" i="51"/>
  <c r="D15" i="51"/>
  <c r="D16" i="51" s="1"/>
  <c r="D18" i="51" s="1"/>
  <c r="D20" i="51" s="1"/>
  <c r="E22" i="51" l="1"/>
  <c r="F14" i="51"/>
  <c r="E15" i="51"/>
  <c r="E16" i="51" s="1"/>
  <c r="E18" i="51" s="1"/>
  <c r="E20" i="51" s="1"/>
  <c r="C17" i="20"/>
  <c r="F22" i="51" l="1"/>
  <c r="G14" i="51"/>
  <c r="F15" i="51"/>
  <c r="F16" i="51" s="1"/>
  <c r="F18" i="51" s="1"/>
  <c r="F20" i="51" s="1"/>
  <c r="C23" i="20"/>
  <c r="H14" i="51" l="1"/>
  <c r="G15" i="51"/>
  <c r="G16" i="51" s="1"/>
  <c r="G18" i="51" s="1"/>
  <c r="G20" i="51" s="1"/>
  <c r="G22" i="51"/>
  <c r="H22" i="51" l="1"/>
  <c r="I14" i="51"/>
  <c r="H15" i="51"/>
  <c r="H16" i="51" s="1"/>
  <c r="H18" i="51" s="1"/>
  <c r="I18" i="51" l="1"/>
  <c r="H20" i="51"/>
  <c r="I15" i="51"/>
  <c r="I16" i="51" s="1"/>
  <c r="I22" i="51"/>
  <c r="I23" i="51" s="1"/>
  <c r="I20" i="51" l="1"/>
  <c r="D7" i="20"/>
  <c r="D15" i="20" l="1"/>
  <c r="D17" i="20" s="1"/>
  <c r="E7" i="20"/>
  <c r="E15" i="20" l="1"/>
  <c r="E17" i="20" s="1"/>
  <c r="E23" i="20" s="1"/>
  <c r="D23" i="20" s="1"/>
  <c r="E10" i="20"/>
  <c r="D10" i="20" s="1"/>
</calcChain>
</file>

<file path=xl/sharedStrings.xml><?xml version="1.0" encoding="utf-8"?>
<sst xmlns="http://schemas.openxmlformats.org/spreadsheetml/2006/main" count="641" uniqueCount="384">
  <si>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</si>
  <si>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</si>
  <si>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</si>
  <si>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</si>
  <si>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</si>
  <si>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</si>
  <si>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</si>
  <si>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</si>
  <si>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</si>
  <si>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</si>
  <si>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</si>
  <si>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</si>
  <si>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</si>
  <si>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</si>
  <si>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</si>
  <si>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</si>
  <si>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</si>
  <si>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</si>
  <si>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</si>
  <si>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</si>
  <si>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</si>
  <si>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</si>
  <si>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</si>
  <si>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</si>
  <si>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</si>
  <si>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</si>
  <si>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</si>
  <si>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</si>
  <si>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</si>
  <si>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</si>
  <si>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</si>
  <si>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</si>
  <si>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</si>
  <si>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</si>
  <si>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</si>
  <si>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</si>
  <si>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</si>
  <si>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</si>
  <si>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</si>
  <si>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</si>
  <si>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</si>
  <si>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</si>
  <si>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</si>
  <si>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</si>
  <si>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</si>
  <si>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</si>
  <si>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</si>
  <si>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</si>
  <si>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</si>
  <si>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</si>
  <si>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</si>
  <si>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</si>
  <si>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</si>
  <si>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</si>
  <si>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</si>
  <si>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</si>
  <si>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</si>
  <si>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</si>
  <si>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</si>
  <si>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</si>
  <si>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</si>
  <si>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</si>
  <si>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</si>
  <si>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</si>
  <si>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</si>
  <si>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</si>
  <si>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</si>
  <si>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</si>
  <si>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</si>
  <si>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</si>
  <si>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</si>
  <si>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</si>
  <si>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</si>
  <si>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</si>
  <si>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</si>
  <si>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</si>
  <si>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</si>
  <si>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</si>
  <si>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</si>
  <si>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</si>
  <si>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</si>
  <si>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</si>
  <si>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</si>
  <si>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</si>
  <si>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</si>
  <si>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</si>
  <si>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</si>
  <si>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</si>
  <si>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</si>
  <si>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</si>
  <si>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</si>
  <si>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</si>
  <si>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</si>
  <si>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</si>
  <si>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</si>
  <si>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</si>
  <si>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</si>
  <si>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</si>
  <si>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</si>
  <si>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</si>
  <si>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</si>
  <si>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</si>
  <si>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</si>
  <si>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</si>
  <si>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</si>
  <si>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</si>
  <si>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</si>
  <si>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</si>
  <si>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</si>
  <si>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</si>
  <si>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</si>
  <si>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</si>
  <si>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</si>
  <si>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</si>
  <si>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</si>
  <si>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</si>
  <si>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</si>
  <si>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</si>
  <si>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</si>
  <si>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</si>
  <si>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</si>
  <si>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</si>
  <si>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</si>
  <si>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</si>
  <si>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</si>
  <si>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</si>
  <si>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</si>
  <si>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</si>
  <si>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</si>
  <si>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</si>
  <si>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</si>
  <si>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</si>
  <si>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</si>
  <si>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</si>
  <si>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</si>
  <si>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</si>
  <si>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</si>
  <si>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</si>
  <si>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</si>
  <si>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</si>
  <si>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</si>
  <si>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</si>
  <si>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</si>
  <si>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</si>
  <si>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</si>
  <si>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</si>
  <si>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</si>
  <si>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</si>
  <si>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</si>
  <si>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</si>
  <si>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</si>
  <si>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</si>
  <si>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</si>
  <si>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</si>
  <si>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</si>
  <si>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</si>
  <si>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</si>
  <si>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</si>
  <si>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</si>
  <si>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</si>
  <si>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</si>
  <si>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</si>
  <si>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</si>
  <si>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</si>
  <si>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</si>
  <si>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</si>
  <si>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</si>
  <si>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</si>
  <si>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</si>
  <si>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</si>
  <si>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</si>
  <si>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</si>
  <si>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</si>
  <si>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</si>
  <si>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</si>
  <si>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</si>
  <si>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</si>
  <si>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</si>
  <si>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</si>
  <si>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</si>
  <si>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</si>
  <si>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</si>
  <si>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</si>
  <si>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</si>
  <si>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</si>
  <si>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</si>
  <si>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</si>
  <si>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</si>
  <si>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</si>
  <si>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</si>
  <si>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</si>
  <si>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</si>
  <si>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</si>
  <si>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</si>
  <si>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</si>
  <si>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</si>
  <si>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</si>
  <si>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</si>
  <si>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</si>
  <si>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</si>
  <si>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</si>
  <si>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</si>
  <si>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</si>
  <si>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</si>
  <si>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</si>
  <si>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</si>
  <si>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</si>
  <si>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</si>
  <si>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</si>
  <si>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</si>
  <si>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ANNUAL NORMALIZATION (LINE 3 / 2)</t>
  </si>
  <si>
    <t>LESS TEST YEAR EXPENSE:  GRC DIRECT CHARGES TO O&amp;M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</si>
  <si>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</si>
  <si>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</si>
  <si>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</si>
  <si>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</si>
  <si>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</si>
  <si>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</si>
  <si>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</si>
  <si>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</si>
  <si>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</si>
  <si>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</si>
  <si>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</si>
  <si>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</si>
  <si>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</si>
  <si>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TOTAL INCREASE (DECREASE) OPERATING REVENUES</t>
  </si>
  <si>
    <t>PUGET SOUND ENERGY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</si>
  <si>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</si>
  <si>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</si>
  <si>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</si>
  <si>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</si>
  <si>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</si>
  <si>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</si>
  <si>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</si>
  <si>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</si>
  <si>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</si>
  <si>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</si>
  <si>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</si>
  <si>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</si>
  <si>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</si>
  <si>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</si>
  <si>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</si>
  <si>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</si>
  <si>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REVENUE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</si>
  <si>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</si>
  <si>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</si>
  <si>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</si>
  <si>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</si>
  <si>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</si>
  <si>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</si>
  <si>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</si>
  <si>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</si>
  <si>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</si>
  <si>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REMOVE EARNINGS SHARING ACCRUALS</t>
  </si>
  <si>
    <t>REMOVE RENTALS ASSOC WITH SCH 132</t>
  </si>
  <si>
    <t>PROFORMA BAD DEBT RATE</t>
  </si>
  <si>
    <t>PROFORMA BAD DEBTS</t>
  </si>
  <si>
    <t>TOTAL INCENTIVE / MERIT PAY</t>
  </si>
  <si>
    <t>Rate Case Expense</t>
  </si>
  <si>
    <t>December</t>
  </si>
  <si>
    <t>August</t>
  </si>
  <si>
    <t>Conversion Factor</t>
  </si>
  <si>
    <t>Line 10 ÷ Line11, &amp; for adj:  (Line 10 - Previous Line 10) ÷ Line11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</si>
  <si>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</si>
  <si>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</si>
  <si>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</si>
  <si>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</si>
  <si>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</si>
  <si>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</si>
  <si>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Difference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</si>
  <si>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</si>
  <si>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</si>
  <si>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</si>
  <si>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</si>
  <si>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</si>
  <si>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</si>
  <si>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</si>
  <si>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</si>
  <si>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</si>
  <si>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</si>
  <si>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Bad Debt</t>
  </si>
  <si>
    <t>Temp Normalization</t>
  </si>
  <si>
    <t>Source</t>
  </si>
  <si>
    <t>Line No.</t>
  </si>
  <si>
    <t>Normalizing Adjustments to Remove</t>
  </si>
  <si>
    <t>Commission Basis Report</t>
  </si>
  <si>
    <t>Gas Earnings Sharing Test (Excludes Normalizing Adjustments per UE-170033 / UG-170034)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</si>
  <si>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</si>
  <si>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</si>
  <si>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</si>
  <si>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</si>
  <si>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</si>
  <si>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</si>
  <si>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12 ME 12/01/2016 AND 8/31/2016</t>
  </si>
  <si>
    <t>12 ME 12/01/2017 AND 8/31/2017</t>
  </si>
  <si>
    <t>INCREASE (DECREASE) FIT  (LINE 26 * 21%)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</si>
  <si>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</si>
  <si>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</si>
  <si>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</si>
  <si>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</si>
  <si>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</si>
  <si>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</si>
  <si>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</si>
  <si>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</si>
  <si>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</si>
  <si>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</si>
  <si>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</si>
  <si>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</si>
  <si>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</si>
  <si>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</si>
  <si>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</si>
  <si>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</si>
  <si>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</si>
  <si>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</si>
  <si>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check</t>
  </si>
  <si>
    <t>85T</t>
  </si>
  <si>
    <t>87T</t>
  </si>
  <si>
    <t>SC</t>
  </si>
  <si>
    <t>Incremental Earnings Sharing for CY 2019 for Cost of Svc</t>
  </si>
  <si>
    <t>Two months 17GRC; Ten months 18ERF</t>
  </si>
  <si>
    <t>FOR THE TWELVE MONTHS ENDED DECEMBER 31, 2020</t>
  </si>
  <si>
    <t>*</t>
  </si>
  <si>
    <t>NOI - After</t>
  </si>
  <si>
    <t>RATEBASE - After</t>
  </si>
  <si>
    <t>AFTER CHANGES - LINKED!!!</t>
  </si>
  <si>
    <t>DIFFERENCE</t>
  </si>
  <si>
    <t>NOI</t>
  </si>
  <si>
    <t>RATEBASE</t>
  </si>
  <si>
    <t>BEFORE CHANGES - COPY VALUES FROM EXCEL ABOVE ROWS NOI thru RATE BASE</t>
  </si>
  <si>
    <t>REMOVE AMI RATEBASE</t>
  </si>
  <si>
    <t>REMOVE LNG PIPELINE UPGRADES</t>
  </si>
  <si>
    <t xml:space="preserve">REMOVE </t>
  </si>
  <si>
    <t>AMI RATEBASE</t>
  </si>
  <si>
    <t xml:space="preserve">REMOVE LNG </t>
  </si>
  <si>
    <t>2017 AND 2019 GRC EXPENSES TO BE NORMALIZED</t>
  </si>
  <si>
    <t>Adj 3.19</t>
  </si>
  <si>
    <t>Adj 3.21</t>
  </si>
  <si>
    <t>UTILITY PLANT RATEBASE</t>
  </si>
  <si>
    <t>PLANT BALANCE</t>
  </si>
  <si>
    <t xml:space="preserve">ACCUM DEPRECIATION </t>
  </si>
  <si>
    <t>DEFERRED INCOME TAX LIABILITY</t>
  </si>
  <si>
    <t>NET  PLANT RATEBASE</t>
  </si>
  <si>
    <t xml:space="preserve">CONVERSION FACTOR INCL FEDERAL INCOME TAX ( LINE 5 + LINE 8 ) </t>
  </si>
  <si>
    <t>12 ME 12/01/2019 AND 8/31/2019</t>
  </si>
  <si>
    <t>12 ME December 31, 2020</t>
  </si>
  <si>
    <t>2020 CBR as Filed</t>
  </si>
  <si>
    <t>2020 Adjusted CBR Earnings Test</t>
  </si>
  <si>
    <t>UE-121697</t>
  </si>
  <si>
    <t>COC and RSI - From COC History</t>
  </si>
  <si>
    <t>2018 ERF</t>
  </si>
  <si>
    <t>19GRC Final Order</t>
  </si>
  <si>
    <t>UE-180899 &amp; UG-180900</t>
  </si>
  <si>
    <t>UE-190529 &amp; UG-190530</t>
  </si>
  <si>
    <t>Rates Effective</t>
  </si>
  <si>
    <t>Test Year Ended</t>
  </si>
  <si>
    <t>Rate Year Beginning</t>
  </si>
  <si>
    <t>Capital %</t>
  </si>
  <si>
    <t>Cost %</t>
  </si>
  <si>
    <t>WACC</t>
  </si>
  <si>
    <t>Short Term Debt (Prior to 17GRC, separated)</t>
  </si>
  <si>
    <t>Short and Long Term Debt</t>
  </si>
  <si>
    <t>PREFERRED</t>
  </si>
  <si>
    <t>EQUITY</t>
  </si>
  <si>
    <t>AFTER TAX SHORT TERM DEBT ( (LINE 1)* 65%)</t>
  </si>
  <si>
    <t>AFTER TAX LONG TERM DEBT ( (LINE 2)* 65%)</t>
  </si>
  <si>
    <t>TOTAL AFTER TAX COST OF CAPITAL</t>
  </si>
  <si>
    <t>Electric  - Conversion Factor (for revenue sensitive items)</t>
  </si>
  <si>
    <t>STATE UTILITY TAX ( 0% - ( LINE 1 * 0% )  )</t>
  </si>
  <si>
    <t>CONVERSION FACTOR EXCLUDING FEDERAL INCOME TAX</t>
  </si>
  <si>
    <t xml:space="preserve">CONVERSION FACTOR INCL FEDERAL INCOME TAX </t>
  </si>
  <si>
    <t>(Source: UG-180900 and UG-190530)</t>
  </si>
  <si>
    <t>Admin &amp; General Expense</t>
  </si>
  <si>
    <t>Depreciation Expense</t>
  </si>
  <si>
    <t>Plant in Service</t>
  </si>
  <si>
    <t>Accumulated Depreciation</t>
  </si>
  <si>
    <t xml:space="preserve">Accumulated Deferred FIT </t>
  </si>
  <si>
    <t>Total Rate Base</t>
  </si>
  <si>
    <t>Increase (Decrease) FIT @ 21%</t>
  </si>
  <si>
    <t>EXPENSE &amp; RATE BASE</t>
  </si>
  <si>
    <t>REMOVE SCHEDULE 141X PROTECTED EDIT (OFFSET IN FIT %)</t>
  </si>
  <si>
    <t>OTHER OPERATING EXPENSES:</t>
  </si>
  <si>
    <t>INCREASE (DECREASE) OPERATING EXPENSES</t>
  </si>
  <si>
    <t>INCOME STATEMENT</t>
  </si>
  <si>
    <t>Gas O&amp;M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</si>
</sst>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4" formatCode="[$-409]mmmm\ d\,\ yyyy;@"/>
    <numFmt numFmtId="186" formatCode="_(&quot;$&quot;* #,##0.0000_);_(&quot;$&quot;* \(#,##0.0000\);_(&quot;$&quot;* &quot;-&quot;????_);_(@_)"/>
    <numFmt numFmtId="187" formatCode="_(* #,##0.00_);_(* \(#,##0.00\);_(* &quot;-&quot;_);_(@_)"/>
  </numFmts>
  <fonts count="38" x14ac:knownFonts="1">
    <font>
      <sz val="8"/>
      <name val="Helv"/>
    </font>
    <font>
      <sz val="11"/>
      <color theme="1"/>
      <name val="Calibri"/>
      <family val="2"/>
      <scheme val="minor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u/>
      <sz val="9"/>
      <name val="Arial"/>
      <family val="2"/>
    </font>
    <font>
      <sz val="9"/>
      <name val="Helv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3FD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170" fontId="0" fillId="0" borderId="0">
      <alignment horizontal="left" wrapText="1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6" fontId="7" fillId="0" borderId="0">
      <alignment horizontal="left" wrapText="1"/>
    </xf>
    <xf numFmtId="0" fontId="1" fillId="0" borderId="0"/>
  </cellStyleXfs>
  <cellXfs count="610">
    <xf numFmtId="0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>
      <alignment horizontal="centerContinuous"/>
    </xf>
    <xf numFmtId="42" fontId="8" fillId="0" borderId="0" xfId="0" applyNumberFormat="1" applyFont="1" applyFill="1" applyAlignment="1" applyProtection="1">
      <protection locked="0"/>
    </xf>
    <xf numFmtId="42" fontId="8" fillId="0" borderId="0" xfId="0" applyNumberFormat="1" applyFont="1" applyFill="1" applyAlignment="1" applyProtection="1"/>
    <xf numFmtId="41" fontId="8" fillId="0" borderId="0" xfId="0" applyNumberFormat="1" applyFont="1" applyFill="1" applyAlignment="1" applyProtection="1">
      <protection locked="0"/>
    </xf>
    <xf numFmtId="41" fontId="8" fillId="0" borderId="0" xfId="0" applyNumberFormat="1" applyFont="1" applyFill="1" applyAlignment="1" applyProtection="1">
      <alignment horizontal="left"/>
      <protection locked="0"/>
    </xf>
    <xf numFmtId="41" fontId="8" fillId="0" borderId="0" xfId="0" applyNumberFormat="1" applyFont="1" applyFill="1" applyAlignment="1" applyProtection="1">
      <alignment horizontal="left"/>
    </xf>
    <xf numFmtId="41" fontId="8" fillId="0" borderId="3" xfId="0" applyNumberFormat="1" applyFont="1" applyFill="1" applyBorder="1" applyAlignment="1" applyProtection="1">
      <protection locked="0"/>
    </xf>
    <xf numFmtId="42" fontId="8" fillId="0" borderId="5" xfId="0" applyNumberFormat="1" applyFont="1" applyFill="1" applyBorder="1" applyAlignment="1" applyProtection="1"/>
    <xf numFmtId="10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 applyProtection="1">
      <protection locked="0"/>
    </xf>
    <xf numFmtId="17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/>
    <xf numFmtId="42" fontId="3" fillId="0" borderId="0" xfId="0" applyNumberFormat="1" applyFont="1" applyFill="1" applyAlignment="1"/>
    <xf numFmtId="38" fontId="3" fillId="0" borderId="0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3" xfId="0" applyNumberFormat="1" applyFont="1" applyFill="1" applyBorder="1" applyAlignment="1"/>
    <xf numFmtId="0" fontId="4" fillId="0" borderId="3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 applyProtection="1">
      <alignment horizontal="center"/>
      <protection locked="0"/>
    </xf>
    <xf numFmtId="42" fontId="3" fillId="0" borderId="4" xfId="0" applyNumberFormat="1" applyFont="1" applyFill="1" applyBorder="1" applyAlignment="1" applyProtection="1">
      <protection locked="0"/>
    </xf>
    <xf numFmtId="42" fontId="3" fillId="0" borderId="4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3" xfId="0" applyNumberFormat="1" applyFont="1" applyFill="1" applyBorder="1" applyAlignment="1"/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protection locked="0"/>
    </xf>
    <xf numFmtId="41" fontId="3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10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0" fontId="4" fillId="0" borderId="3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top"/>
    </xf>
    <xf numFmtId="15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42" fontId="3" fillId="0" borderId="0" xfId="0" applyNumberFormat="1" applyFont="1" applyFill="1" applyAlignment="1">
      <alignment vertical="top"/>
    </xf>
    <xf numFmtId="0" fontId="4" fillId="0" borderId="0" xfId="0" quotePrefix="1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/>
    <xf numFmtId="6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/>
    <xf numFmtId="18" fontId="3" fillId="0" borderId="0" xfId="0" applyNumberFormat="1" applyFont="1" applyFill="1" applyAlignment="1"/>
    <xf numFmtId="171" fontId="3" fillId="0" borderId="0" xfId="0" applyNumberFormat="1" applyFont="1" applyFill="1" applyBorder="1" applyAlignment="1" applyProtection="1">
      <protection locked="0"/>
    </xf>
    <xf numFmtId="6" fontId="3" fillId="0" borderId="0" xfId="0" applyNumberFormat="1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vertical="top"/>
    </xf>
    <xf numFmtId="17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41" fontId="3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fill"/>
    </xf>
    <xf numFmtId="3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3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5" fontId="3" fillId="0" borderId="0" xfId="0" applyNumberFormat="1" applyFont="1" applyFill="1" applyAlignment="1"/>
    <xf numFmtId="179" fontId="8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17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4" fontId="11" fillId="0" borderId="0" xfId="0" applyNumberFormat="1" applyFont="1" applyFill="1" applyAlignment="1"/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41" fontId="13" fillId="0" borderId="0" xfId="0" applyNumberFormat="1" applyFont="1" applyFill="1" applyAlignment="1">
      <alignment vertical="top"/>
    </xf>
    <xf numFmtId="18" fontId="4" fillId="0" borderId="0" xfId="0" applyNumberFormat="1" applyFont="1" applyFill="1" applyAlignment="1"/>
    <xf numFmtId="42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37" fontId="13" fillId="0" borderId="0" xfId="0" applyNumberFormat="1" applyFont="1" applyFill="1" applyAlignment="1">
      <alignment vertical="top"/>
    </xf>
    <xf numFmtId="178" fontId="3" fillId="0" borderId="0" xfId="0" applyNumberFormat="1" applyFont="1" applyFill="1" applyBorder="1" applyAlignment="1"/>
    <xf numFmtId="172" fontId="13" fillId="0" borderId="0" xfId="0" applyNumberFormat="1" applyFont="1" applyFill="1" applyBorder="1" applyAlignment="1"/>
    <xf numFmtId="41" fontId="13" fillId="0" borderId="0" xfId="0" applyNumberFormat="1" applyFont="1" applyFill="1" applyBorder="1" applyAlignment="1"/>
    <xf numFmtId="37" fontId="14" fillId="0" borderId="0" xfId="0" applyNumberFormat="1" applyFont="1" applyFill="1" applyAlignment="1">
      <alignment vertical="top"/>
    </xf>
    <xf numFmtId="42" fontId="3" fillId="0" borderId="0" xfId="0" applyNumberFormat="1" applyFont="1" applyFill="1" applyBorder="1" applyAlignment="1"/>
    <xf numFmtId="41" fontId="8" fillId="0" borderId="0" xfId="0" applyNumberFormat="1" applyFont="1" applyFill="1" applyAlignment="1" applyProtection="1">
      <protection locked="0"/>
    </xf>
    <xf numFmtId="41" fontId="8" fillId="0" borderId="3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Alignment="1"/>
    <xf numFmtId="0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1" fillId="0" borderId="0" xfId="0" applyNumberFormat="1" applyFont="1" applyFill="1" applyAlignment="1"/>
    <xf numFmtId="170" fontId="3" fillId="0" borderId="0" xfId="0" applyFont="1" applyFill="1">
      <alignment horizontal="left" wrapText="1"/>
    </xf>
    <xf numFmtId="170" fontId="4" fillId="0" borderId="0" xfId="0" applyFont="1" applyFill="1" applyAlignment="1">
      <alignment horizontal="center"/>
    </xf>
    <xf numFmtId="170" fontId="4" fillId="0" borderId="3" xfId="0" applyFont="1" applyFill="1" applyBorder="1" applyAlignment="1">
      <alignment horizontal="center"/>
    </xf>
    <xf numFmtId="170" fontId="4" fillId="0" borderId="0" xfId="0" applyFont="1" applyFill="1" applyAlignment="1" applyProtection="1">
      <alignment horizontal="center"/>
      <protection locked="0"/>
    </xf>
    <xf numFmtId="170" fontId="4" fillId="0" borderId="3" xfId="0" applyFont="1" applyFill="1" applyBorder="1" applyAlignment="1" applyProtection="1">
      <alignment horizontal="center"/>
      <protection locked="0"/>
    </xf>
    <xf numFmtId="170" fontId="3" fillId="0" borderId="0" xfId="0" applyFont="1" applyFill="1" applyAlignment="1"/>
    <xf numFmtId="170" fontId="11" fillId="0" borderId="0" xfId="0" applyFont="1" applyFill="1" applyAlignment="1"/>
    <xf numFmtId="170" fontId="3" fillId="0" borderId="0" xfId="0" applyFont="1" applyFill="1" applyBorder="1" applyAlignment="1"/>
    <xf numFmtId="170" fontId="3" fillId="0" borderId="0" xfId="0" applyFont="1" applyFill="1" applyAlignment="1">
      <alignment horizontal="center"/>
    </xf>
    <xf numFmtId="170" fontId="3" fillId="0" borderId="0" xfId="0" applyFont="1" applyFill="1" applyAlignment="1">
      <alignment horizontal="left"/>
    </xf>
    <xf numFmtId="170" fontId="3" fillId="0" borderId="0" xfId="0" quotePrefix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172" fontId="3" fillId="0" borderId="0" xfId="0" applyNumberFormat="1" applyFont="1" applyFill="1" applyBorder="1" applyProtection="1">
      <alignment horizontal="left" wrapText="1"/>
      <protection locked="0"/>
    </xf>
    <xf numFmtId="172" fontId="3" fillId="0" borderId="0" xfId="0" applyNumberFormat="1" applyFont="1" applyFill="1" applyBorder="1">
      <alignment horizontal="left" wrapText="1"/>
    </xf>
    <xf numFmtId="1" fontId="3" fillId="0" borderId="0" xfId="0" applyNumberFormat="1" applyFont="1" applyFill="1" applyBorder="1" applyAlignment="1">
      <alignment horizontal="center"/>
    </xf>
    <xf numFmtId="170" fontId="4" fillId="0" borderId="0" xfId="0" applyFont="1" applyFill="1" applyBorder="1" applyAlignment="1">
      <alignment horizontal="center"/>
    </xf>
    <xf numFmtId="0" fontId="17" fillId="0" borderId="0" xfId="0" applyNumberFormat="1" applyFont="1" applyAlignment="1"/>
    <xf numFmtId="0" fontId="7" fillId="0" borderId="0" xfId="0" applyNumberFormat="1" applyFont="1" applyAlignment="1"/>
    <xf numFmtId="0" fontId="17" fillId="0" borderId="3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78" fontId="7" fillId="0" borderId="0" xfId="0" applyNumberFormat="1" applyFont="1" applyFill="1" applyAlignment="1"/>
    <xf numFmtId="178" fontId="7" fillId="0" borderId="0" xfId="0" applyNumberFormat="1" applyFont="1" applyAlignment="1"/>
    <xf numFmtId="10" fontId="17" fillId="0" borderId="0" xfId="0" applyNumberFormat="1" applyFont="1" applyFill="1" applyAlignment="1"/>
    <xf numFmtId="10" fontId="7" fillId="0" borderId="0" xfId="0" applyNumberFormat="1" applyFont="1" applyAlignment="1"/>
    <xf numFmtId="9" fontId="7" fillId="0" borderId="0" xfId="0" applyNumberFormat="1" applyFont="1" applyAlignment="1"/>
    <xf numFmtId="170" fontId="4" fillId="0" borderId="0" xfId="0" applyFont="1" applyFill="1">
      <alignment horizontal="left" wrapText="1"/>
    </xf>
    <xf numFmtId="15" fontId="4" fillId="0" borderId="0" xfId="0" applyNumberFormat="1" applyFont="1" applyFill="1">
      <alignment horizontal="left" wrapText="1"/>
    </xf>
    <xf numFmtId="170" fontId="4" fillId="0" borderId="0" xfId="0" applyFont="1" applyFill="1" applyAlignment="1" applyProtection="1">
      <alignment horizontal="left"/>
      <protection locked="0"/>
    </xf>
    <xf numFmtId="170" fontId="4" fillId="0" borderId="0" xfId="0" applyFont="1" applyFill="1" applyAlignment="1" applyProtection="1">
      <alignment horizontal="centerContinuous" vertical="center"/>
      <protection locked="0"/>
    </xf>
    <xf numFmtId="170" fontId="4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0" fontId="4" fillId="0" borderId="3" xfId="0" applyFont="1" applyFill="1" applyBorder="1" applyAlignment="1"/>
    <xf numFmtId="170" fontId="18" fillId="0" borderId="3" xfId="0" applyFont="1" applyFill="1" applyBorder="1" applyAlignment="1">
      <alignment horizontal="centerContinuous"/>
    </xf>
    <xf numFmtId="170" fontId="4" fillId="0" borderId="0" xfId="0" applyFont="1" applyFill="1" applyBorder="1" applyAlignment="1"/>
    <xf numFmtId="170" fontId="1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181" fontId="3" fillId="0" borderId="0" xfId="0" applyNumberFormat="1" applyFont="1" applyFill="1" applyAlignment="1"/>
    <xf numFmtId="170" fontId="7" fillId="0" borderId="0" xfId="0" applyFont="1" applyFill="1">
      <alignment horizontal="left" wrapText="1"/>
    </xf>
    <xf numFmtId="170" fontId="7" fillId="0" borderId="0" xfId="0" applyFont="1" applyFill="1" applyAlignment="1">
      <alignment horizontal="centerContinuous" vertical="center"/>
    </xf>
    <xf numFmtId="170" fontId="4" fillId="0" borderId="0" xfId="0" applyFont="1" applyFill="1" applyBorder="1">
      <alignment horizontal="left" wrapText="1"/>
    </xf>
    <xf numFmtId="168" fontId="3" fillId="0" borderId="0" xfId="0" applyNumberFormat="1" applyFont="1" applyFill="1" applyAlignment="1">
      <alignment horizontal="right"/>
    </xf>
    <xf numFmtId="0" fontId="4" fillId="0" borderId="6" xfId="0" quotePrefix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Alignment="1"/>
    <xf numFmtId="0" fontId="17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7" fillId="0" borderId="0" xfId="0" applyNumberFormat="1" applyFont="1" applyAlignment="1"/>
    <xf numFmtId="170" fontId="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4" fillId="0" borderId="0" xfId="0" applyFont="1" applyFill="1" applyAlignment="1"/>
    <xf numFmtId="172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Continuous"/>
    </xf>
    <xf numFmtId="170" fontId="4" fillId="0" borderId="0" xfId="0" applyFont="1" applyFill="1" applyAlignment="1">
      <alignment horizontal="centerContinuous"/>
    </xf>
    <xf numFmtId="172" fontId="4" fillId="0" borderId="0" xfId="0" applyNumberFormat="1" applyFont="1" applyFill="1" applyBorder="1" applyAlignment="1">
      <alignment horizontal="centerContinuous"/>
    </xf>
    <xf numFmtId="170" fontId="4" fillId="0" borderId="0" xfId="0" applyFont="1" applyFill="1" applyAlignment="1" applyProtection="1">
      <alignment horizontal="centerContinuous"/>
      <protection locked="0"/>
    </xf>
    <xf numFmtId="15" fontId="6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/>
    <xf numFmtId="170" fontId="4" fillId="0" borderId="0" xfId="0" applyFont="1" applyFill="1" applyAlignment="1" applyProtection="1">
      <protection locked="0"/>
    </xf>
    <xf numFmtId="170" fontId="4" fillId="0" borderId="3" xfId="0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41" fontId="4" fillId="0" borderId="3" xfId="0" applyNumberFormat="1" applyFont="1" applyFill="1" applyBorder="1" applyAlignment="1">
      <alignment horizontal="center"/>
    </xf>
    <xf numFmtId="170" fontId="4" fillId="0" borderId="3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/>
    </xf>
    <xf numFmtId="172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Continuous"/>
    </xf>
    <xf numFmtId="0" fontId="4" fillId="0" borderId="3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Font="1" applyFill="1" applyAlignment="1">
      <alignment horizontal="center" wrapText="1"/>
    </xf>
    <xf numFmtId="170" fontId="5" fillId="0" borderId="0" xfId="0" applyFont="1" applyFill="1" applyBorder="1">
      <alignment horizontal="left" wrapText="1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/>
    <xf numFmtId="9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fill"/>
      <protection locked="0"/>
    </xf>
    <xf numFmtId="170" fontId="3" fillId="0" borderId="0" xfId="0" quotePrefix="1" applyFont="1" applyFill="1" applyAlignment="1">
      <alignment horizontal="center"/>
    </xf>
    <xf numFmtId="17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NumberFormat="1" applyFont="1" applyFill="1" applyAlignment="1"/>
    <xf numFmtId="169" fontId="3" fillId="0" borderId="0" xfId="0" applyNumberFormat="1" applyFont="1" applyFill="1" applyAlignment="1"/>
    <xf numFmtId="170" fontId="5" fillId="0" borderId="0" xfId="0" applyFont="1" applyFill="1" applyAlignment="1">
      <alignment horizontal="center"/>
    </xf>
    <xf numFmtId="170" fontId="5" fillId="0" borderId="0" xfId="0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73" fontId="3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0" fontId="3" fillId="0" borderId="0" xfId="0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/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70" fontId="7" fillId="0" borderId="0" xfId="0" applyFont="1" applyFill="1" applyBorder="1">
      <alignment horizontal="left" wrapText="1"/>
    </xf>
    <xf numFmtId="1" fontId="3" fillId="0" borderId="0" xfId="0" applyNumberFormat="1" applyFont="1" applyFill="1" applyAlignment="1"/>
    <xf numFmtId="41" fontId="3" fillId="0" borderId="0" xfId="0" applyNumberFormat="1" applyFont="1" applyFill="1" applyBorder="1">
      <alignment horizontal="left" wrapText="1"/>
    </xf>
    <xf numFmtId="165" fontId="3" fillId="0" borderId="0" xfId="0" applyNumberFormat="1" applyFont="1" applyFill="1" applyAlignment="1">
      <alignment vertical="top"/>
    </xf>
    <xf numFmtId="17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/>
    <xf numFmtId="17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>
      <alignment horizontal="left" wrapText="1"/>
    </xf>
    <xf numFmtId="178" fontId="3" fillId="0" borderId="0" xfId="0" applyNumberFormat="1" applyFont="1" applyFill="1" applyBorder="1" applyAlignment="1">
      <alignment horizontal="right" wrapText="1"/>
    </xf>
    <xf numFmtId="0" fontId="4" fillId="0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42" fontId="4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6" fontId="7" fillId="0" borderId="0" xfId="0" applyNumberFormat="1" applyFont="1" applyAlignment="1"/>
    <xf numFmtId="4" fontId="7" fillId="0" borderId="0" xfId="0" applyNumberFormat="1" applyFont="1" applyFill="1" applyAlignment="1">
      <alignment horizontal="left" wrapText="1"/>
    </xf>
    <xf numFmtId="170" fontId="3" fillId="0" borderId="0" xfId="0" applyNumberFormat="1" applyFont="1" applyFill="1" applyAlignment="1">
      <alignment horizontal="left" wrapText="1" indent="1"/>
    </xf>
    <xf numFmtId="0" fontId="25" fillId="0" borderId="0" xfId="0" applyNumberFormat="1" applyFont="1" applyAlignment="1"/>
    <xf numFmtId="0" fontId="17" fillId="0" borderId="0" xfId="0" applyNumberFormat="1" applyFont="1" applyFill="1" applyAlignment="1"/>
    <xf numFmtId="0" fontId="7" fillId="0" borderId="0" xfId="0" applyNumberFormat="1" applyFont="1" applyFill="1" applyAlignment="1"/>
    <xf numFmtId="170" fontId="24" fillId="0" borderId="0" xfId="0" applyFont="1" applyFill="1" applyAlignment="1" applyProtection="1">
      <alignment horizontal="centerContinuous" vertical="center"/>
      <protection locked="0"/>
    </xf>
    <xf numFmtId="170" fontId="24" fillId="0" borderId="0" xfId="0" applyFont="1" applyFill="1" applyAlignment="1">
      <alignment horizontal="centerContinuous" vertical="center"/>
    </xf>
    <xf numFmtId="170" fontId="26" fillId="0" borderId="0" xfId="0" applyFont="1" applyFill="1" applyAlignment="1">
      <alignment horizontal="centerContinuous" vertical="center"/>
    </xf>
    <xf numFmtId="170" fontId="24" fillId="0" borderId="0" xfId="0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3" fontId="24" fillId="0" borderId="0" xfId="0" applyNumberFormat="1" applyFont="1" applyFill="1" applyAlignment="1">
      <alignment horizontal="centerContinuous"/>
    </xf>
    <xf numFmtId="15" fontId="24" fillId="0" borderId="0" xfId="0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 applyProtection="1">
      <alignment horizontal="centerContinuous"/>
      <protection locked="0"/>
    </xf>
    <xf numFmtId="170" fontId="24" fillId="0" borderId="0" xfId="0" applyFont="1" applyFill="1" applyAlignment="1" applyProtection="1">
      <alignment horizontal="centerContinuous"/>
      <protection locked="0"/>
    </xf>
    <xf numFmtId="172" fontId="24" fillId="0" borderId="0" xfId="0" applyNumberFormat="1" applyFont="1" applyFill="1" applyBorder="1" applyAlignment="1">
      <alignment horizontal="centerContinuous"/>
    </xf>
    <xf numFmtId="0" fontId="27" fillId="0" borderId="0" xfId="0" applyNumberFormat="1" applyFont="1" applyFill="1" applyAlignment="1"/>
    <xf numFmtId="172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>
      <alignment vertical="top"/>
    </xf>
    <xf numFmtId="41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3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170" fontId="3" fillId="0" borderId="0" xfId="0" applyFont="1" applyFill="1">
      <alignment horizontal="left" wrapText="1"/>
    </xf>
    <xf numFmtId="37" fontId="3" fillId="0" borderId="0" xfId="0" applyNumberFormat="1" applyFont="1" applyFill="1" applyAlignment="1"/>
    <xf numFmtId="41" fontId="3" fillId="0" borderId="0" xfId="0" applyNumberFormat="1" applyFont="1" applyFill="1" applyAlignment="1"/>
    <xf numFmtId="182" fontId="3" fillId="0" borderId="0" xfId="0" applyNumberFormat="1" applyFont="1" applyFill="1" applyAlignment="1"/>
    <xf numFmtId="42" fontId="3" fillId="0" borderId="3" xfId="0" applyNumberFormat="1" applyFont="1" applyFill="1" applyBorder="1" applyAlignment="1"/>
    <xf numFmtId="41" fontId="3" fillId="0" borderId="3" xfId="0" applyNumberFormat="1" applyFont="1" applyFill="1" applyBorder="1" applyAlignment="1"/>
    <xf numFmtId="178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0" fontId="0" fillId="0" borderId="4" xfId="0" applyNumberFormat="1" applyFill="1" applyBorder="1" applyAlignment="1"/>
    <xf numFmtId="37" fontId="3" fillId="0" borderId="3" xfId="0" applyNumberFormat="1" applyFont="1" applyFill="1" applyBorder="1" applyAlignment="1"/>
    <xf numFmtId="178" fontId="3" fillId="0" borderId="2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/>
    <xf numFmtId="42" fontId="4" fillId="0" borderId="2" xfId="0" applyNumberFormat="1" applyFont="1" applyFill="1" applyBorder="1" applyAlignment="1"/>
    <xf numFmtId="42" fontId="4" fillId="0" borderId="5" xfId="0" applyNumberFormat="1" applyFont="1" applyFill="1" applyBorder="1" applyAlignment="1"/>
    <xf numFmtId="42" fontId="3" fillId="0" borderId="0" xfId="0" applyNumberFormat="1" applyFont="1" applyFill="1" applyAlignment="1" applyProtection="1">
      <alignment horizontal="right"/>
      <protection locked="0"/>
    </xf>
    <xf numFmtId="172" fontId="3" fillId="0" borderId="3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>
      <alignment horizontal="right"/>
    </xf>
    <xf numFmtId="42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4" fillId="0" borderId="2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5" xfId="0" applyNumberFormat="1" applyFont="1" applyFill="1" applyBorder="1" applyAlignment="1"/>
    <xf numFmtId="42" fontId="3" fillId="0" borderId="4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42" fontId="15" fillId="0" borderId="5" xfId="0" applyNumberFormat="1" applyFont="1" applyFill="1" applyBorder="1" applyAlignment="1"/>
    <xf numFmtId="42" fontId="3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/>
    <xf numFmtId="41" fontId="8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2" fontId="8" fillId="0" borderId="5" xfId="0" applyNumberFormat="1" applyFont="1" applyFill="1" applyBorder="1" applyAlignment="1"/>
    <xf numFmtId="42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4" xfId="0" applyNumberFormat="1" applyFont="1" applyFill="1" applyBorder="1" applyAlignment="1"/>
    <xf numFmtId="42" fontId="3" fillId="0" borderId="0" xfId="0" applyNumberFormat="1" applyFont="1" applyFill="1">
      <alignment horizontal="left" wrapText="1"/>
    </xf>
    <xf numFmtId="3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42" fontId="4" fillId="0" borderId="2" xfId="0" applyNumberFormat="1" applyFont="1" applyFill="1" applyBorder="1">
      <alignment horizontal="left" wrapText="1"/>
    </xf>
    <xf numFmtId="41" fontId="7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 wrapText="1"/>
    </xf>
    <xf numFmtId="42" fontId="3" fillId="0" borderId="2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7" fontId="3" fillId="0" borderId="4" xfId="0" applyNumberFormat="1" applyFont="1" applyFill="1" applyBorder="1" applyAlignment="1"/>
    <xf numFmtId="169" fontId="3" fillId="0" borderId="0" xfId="0" applyNumberFormat="1" applyFont="1" applyFill="1">
      <alignment horizontal="left" wrapText="1"/>
    </xf>
    <xf numFmtId="177" fontId="3" fillId="0" borderId="0" xfId="0" applyNumberFormat="1" applyFont="1" applyFill="1" applyAlignment="1"/>
    <xf numFmtId="178" fontId="3" fillId="0" borderId="1" xfId="0" applyNumberFormat="1" applyFont="1" applyFill="1" applyBorder="1" applyAlignment="1"/>
    <xf numFmtId="178" fontId="3" fillId="0" borderId="0" xfId="0" applyNumberFormat="1" applyFont="1" applyFill="1" applyAlignment="1">
      <alignment horizontal="right" wrapText="1"/>
    </xf>
    <xf numFmtId="178" fontId="3" fillId="0" borderId="1" xfId="0" applyNumberFormat="1" applyFont="1" applyFill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/>
    </xf>
    <xf numFmtId="170" fontId="3" fillId="0" borderId="4" xfId="0" applyFont="1" applyFill="1" applyBorder="1" applyAlignment="1"/>
    <xf numFmtId="37" fontId="3" fillId="0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42" fontId="3" fillId="0" borderId="2" xfId="0" applyNumberFormat="1" applyFont="1" applyFill="1" applyBorder="1" applyAlignment="1"/>
    <xf numFmtId="170" fontId="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/>
    <xf numFmtId="9" fontId="12" fillId="0" borderId="0" xfId="0" applyNumberFormat="1" applyFont="1" applyFill="1" applyAlignment="1"/>
    <xf numFmtId="43" fontId="3" fillId="0" borderId="0" xfId="0" applyNumberFormat="1" applyFont="1" applyFill="1" applyAlignment="1"/>
    <xf numFmtId="170" fontId="3" fillId="0" borderId="0" xfId="0" applyFont="1" applyFill="1" applyAlignment="1">
      <alignment horizontal="left"/>
    </xf>
    <xf numFmtId="170" fontId="24" fillId="0" borderId="0" xfId="0" applyFont="1" applyFill="1" applyAlignment="1"/>
    <xf numFmtId="170" fontId="3" fillId="0" borderId="0" xfId="0" applyNumberFormat="1" applyFont="1" applyFill="1" applyBorder="1" applyAlignment="1"/>
    <xf numFmtId="170" fontId="3" fillId="0" borderId="0" xfId="0" applyFont="1" applyFill="1" applyBorder="1" applyAlignment="1"/>
    <xf numFmtId="172" fontId="3" fillId="0" borderId="0" xfId="0" applyNumberFormat="1" applyFont="1" applyFill="1" applyBorder="1" applyAlignment="1" applyProtection="1">
      <protection locked="0"/>
    </xf>
    <xf numFmtId="170" fontId="5" fillId="0" borderId="0" xfId="0" applyFont="1" applyBorder="1" applyAlignment="1">
      <alignment horizontal="left"/>
    </xf>
    <xf numFmtId="170" fontId="3" fillId="0" borderId="0" xfId="0" quotePrefix="1" applyFont="1" applyFill="1" applyAlignment="1">
      <alignment horizontal="left"/>
    </xf>
    <xf numFmtId="170" fontId="3" fillId="0" borderId="3" xfId="0" quotePrefix="1" applyFont="1" applyFill="1" applyBorder="1" applyAlignment="1">
      <alignment horizontal="left"/>
    </xf>
    <xf numFmtId="170" fontId="3" fillId="0" borderId="0" xfId="0" quotePrefix="1" applyFont="1" applyFill="1" applyBorder="1" applyAlignment="1">
      <alignment horizontal="left"/>
    </xf>
    <xf numFmtId="170" fontId="0" fillId="0" borderId="0" xfId="0" applyFill="1" applyAlignment="1"/>
    <xf numFmtId="172" fontId="5" fillId="0" borderId="0" xfId="0" applyNumberFormat="1" applyFont="1" applyFill="1" applyBorder="1" applyAlignment="1" applyProtection="1">
      <protection locked="0"/>
    </xf>
    <xf numFmtId="170" fontId="3" fillId="0" borderId="0" xfId="0" applyNumberFormat="1" applyFont="1" applyFill="1" applyAlignment="1">
      <alignment horizontal="left"/>
    </xf>
    <xf numFmtId="170" fontId="0" fillId="0" borderId="0" xfId="0" applyAlignment="1"/>
    <xf numFmtId="41" fontId="3" fillId="0" borderId="0" xfId="0" applyNumberFormat="1" applyFont="1" applyFill="1" applyBorder="1" applyAlignment="1"/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Alignment="1">
      <alignment horizontal="right" wrapText="1"/>
    </xf>
    <xf numFmtId="178" fontId="3" fillId="0" borderId="4" xfId="0" applyNumberFormat="1" applyFont="1" applyFill="1" applyBorder="1" applyAlignment="1">
      <alignment horizontal="right" wrapText="1"/>
    </xf>
    <xf numFmtId="170" fontId="0" fillId="0" borderId="0" xfId="0" applyBorder="1" applyAlignment="1"/>
    <xf numFmtId="4" fontId="0" fillId="0" borderId="0" xfId="0" applyNumberFormat="1" applyAlignment="1"/>
    <xf numFmtId="41" fontId="3" fillId="0" borderId="0" xfId="0" applyNumberFormat="1" applyFont="1" applyAlignment="1"/>
    <xf numFmtId="178" fontId="3" fillId="0" borderId="2" xfId="0" applyNumberFormat="1" applyFont="1" applyBorder="1" applyAlignment="1"/>
    <xf numFmtId="42" fontId="3" fillId="0" borderId="0" xfId="0" applyNumberFormat="1" applyFont="1" applyFill="1" applyAlignment="1">
      <alignment horizontal="right"/>
    </xf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/>
    <xf numFmtId="183" fontId="4" fillId="0" borderId="7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 applyProtection="1">
      <alignment horizontal="centerContinuous"/>
      <protection locked="0"/>
    </xf>
    <xf numFmtId="170" fontId="3" fillId="0" borderId="0" xfId="0" applyFont="1" applyFill="1" applyAlignment="1">
      <alignment horizontal="right" wrapText="1"/>
    </xf>
    <xf numFmtId="170" fontId="7" fillId="0" borderId="0" xfId="0" applyFont="1" applyFill="1" applyAlignment="1">
      <alignment horizontal="right" wrapText="1"/>
    </xf>
    <xf numFmtId="22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right"/>
    </xf>
    <xf numFmtId="170" fontId="3" fillId="0" borderId="0" xfId="0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right"/>
    </xf>
    <xf numFmtId="0" fontId="4" fillId="0" borderId="7" xfId="0" quotePrefix="1" applyNumberFormat="1" applyFont="1" applyFill="1" applyBorder="1" applyAlignment="1">
      <alignment horizontal="right"/>
    </xf>
    <xf numFmtId="0" fontId="4" fillId="0" borderId="6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indent="1"/>
    </xf>
    <xf numFmtId="17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Alignment="1"/>
    <xf numFmtId="184" fontId="17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left" indent="1"/>
    </xf>
    <xf numFmtId="172" fontId="24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42" fontId="3" fillId="0" borderId="3" xfId="0" applyNumberFormat="1" applyFont="1" applyFill="1" applyBorder="1" applyAlignment="1" applyProtection="1">
      <protection locked="0"/>
    </xf>
    <xf numFmtId="42" fontId="3" fillId="0" borderId="4" xfId="0" applyNumberFormat="1" applyFont="1" applyFill="1" applyBorder="1" applyAlignment="1" applyProtection="1"/>
    <xf numFmtId="42" fontId="3" fillId="0" borderId="2" xfId="0" applyNumberFormat="1" applyFont="1" applyFill="1" applyBorder="1" applyAlignment="1" applyProtection="1"/>
    <xf numFmtId="170" fontId="3" fillId="0" borderId="0" xfId="0" applyNumberFormat="1" applyFont="1" applyFill="1" applyBorder="1">
      <alignment horizontal="left" wrapText="1"/>
    </xf>
    <xf numFmtId="0" fontId="7" fillId="0" borderId="0" xfId="0" applyNumberFormat="1" applyFont="1" applyAlignment="1"/>
    <xf numFmtId="42" fontId="7" fillId="2" borderId="9" xfId="0" applyNumberFormat="1" applyFont="1" applyFill="1" applyBorder="1" applyAlignment="1"/>
    <xf numFmtId="42" fontId="7" fillId="0" borderId="9" xfId="0" applyNumberFormat="1" applyFont="1" applyBorder="1" applyAlignment="1"/>
    <xf numFmtId="0" fontId="28" fillId="0" borderId="11" xfId="0" applyNumberFormat="1" applyFont="1" applyBorder="1" applyAlignment="1"/>
    <xf numFmtId="0" fontId="7" fillId="0" borderId="11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left"/>
    </xf>
    <xf numFmtId="0" fontId="7" fillId="0" borderId="12" xfId="0" applyNumberFormat="1" applyFont="1" applyBorder="1" applyAlignment="1">
      <alignment horizontal="center"/>
    </xf>
    <xf numFmtId="42" fontId="7" fillId="0" borderId="13" xfId="0" applyNumberFormat="1" applyFont="1" applyBorder="1" applyAlignment="1"/>
    <xf numFmtId="3" fontId="7" fillId="0" borderId="13" xfId="0" applyNumberFormat="1" applyFont="1" applyFill="1" applyBorder="1" applyAlignment="1"/>
    <xf numFmtId="3" fontId="7" fillId="0" borderId="13" xfId="0" applyNumberFormat="1" applyFont="1" applyBorder="1" applyAlignment="1"/>
    <xf numFmtId="9" fontId="28" fillId="0" borderId="12" xfId="0" applyNumberFormat="1" applyFont="1" applyFill="1" applyBorder="1" applyAlignment="1"/>
    <xf numFmtId="42" fontId="7" fillId="0" borderId="12" xfId="0" applyNumberFormat="1" applyFont="1" applyBorder="1" applyAlignment="1"/>
    <xf numFmtId="42" fontId="7" fillId="0" borderId="13" xfId="0" applyNumberFormat="1" applyFont="1" applyFill="1" applyBorder="1" applyAlignment="1"/>
    <xf numFmtId="0" fontId="29" fillId="0" borderId="0" xfId="0" applyNumberFormat="1" applyFont="1" applyAlignment="1">
      <alignment horizontal="center"/>
    </xf>
    <xf numFmtId="42" fontId="29" fillId="0" borderId="0" xfId="0" applyNumberFormat="1" applyFont="1" applyAlignment="1">
      <alignment horizontal="center"/>
    </xf>
    <xf numFmtId="42" fontId="7" fillId="0" borderId="12" xfId="0" applyNumberFormat="1" applyFont="1" applyFill="1" applyBorder="1" applyAlignment="1"/>
    <xf numFmtId="0" fontId="7" fillId="0" borderId="12" xfId="0" applyNumberFormat="1" applyFont="1" applyBorder="1" applyAlignment="1"/>
    <xf numFmtId="10" fontId="28" fillId="0" borderId="12" xfId="0" applyNumberFormat="1" applyFont="1" applyBorder="1" applyAlignment="1"/>
    <xf numFmtId="42" fontId="7" fillId="0" borderId="14" xfId="0" applyNumberFormat="1" applyFont="1" applyFill="1" applyBorder="1" applyAlignment="1"/>
    <xf numFmtId="0" fontId="7" fillId="0" borderId="13" xfId="0" applyNumberFormat="1" applyFont="1" applyBorder="1" applyAlignment="1">
      <alignment horizontal="left"/>
    </xf>
    <xf numFmtId="0" fontId="7" fillId="0" borderId="13" xfId="0" applyNumberFormat="1" applyFont="1" applyBorder="1" applyAlignment="1">
      <alignment horizontal="center"/>
    </xf>
    <xf numFmtId="0" fontId="17" fillId="2" borderId="15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Continuous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Continuous"/>
    </xf>
    <xf numFmtId="0" fontId="7" fillId="3" borderId="17" xfId="0" applyNumberFormat="1" applyFont="1" applyFill="1" applyBorder="1" applyAlignment="1">
      <alignment horizontal="centerContinuous"/>
    </xf>
    <xf numFmtId="0" fontId="17" fillId="0" borderId="0" xfId="0" applyNumberFormat="1" applyFont="1" applyAlignment="1"/>
    <xf numFmtId="0" fontId="7" fillId="3" borderId="18" xfId="0" applyNumberFormat="1" applyFont="1" applyFill="1" applyBorder="1" applyAlignment="1">
      <alignment horizontal="centerContinuous"/>
    </xf>
    <xf numFmtId="0" fontId="1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9" fontId="7" fillId="0" borderId="0" xfId="0" applyNumberFormat="1" applyFont="1" applyFill="1" applyAlignment="1"/>
    <xf numFmtId="168" fontId="25" fillId="0" borderId="0" xfId="0" applyNumberFormat="1" applyFont="1" applyFill="1" applyAlignment="1"/>
    <xf numFmtId="0" fontId="7" fillId="0" borderId="0" xfId="0" applyNumberFormat="1" applyFont="1" applyFill="1" applyAlignment="1"/>
    <xf numFmtId="178" fontId="7" fillId="0" borderId="0" xfId="0" applyNumberFormat="1" applyFont="1" applyFill="1" applyAlignment="1"/>
    <xf numFmtId="10" fontId="7" fillId="0" borderId="0" xfId="0" applyNumberFormat="1" applyFont="1" applyFill="1" applyAlignment="1"/>
    <xf numFmtId="0" fontId="7" fillId="0" borderId="0" xfId="0" quotePrefix="1" applyNumberFormat="1" applyFont="1" applyFill="1" applyAlignment="1"/>
    <xf numFmtId="10" fontId="7" fillId="0" borderId="0" xfId="0" applyNumberFormat="1" applyFont="1" applyFill="1" applyAlignment="1"/>
    <xf numFmtId="6" fontId="7" fillId="0" borderId="0" xfId="0" applyNumberFormat="1" applyFont="1" applyFill="1" applyAlignment="1"/>
    <xf numFmtId="42" fontId="7" fillId="0" borderId="19" xfId="0" applyNumberFormat="1" applyFont="1" applyFill="1" applyBorder="1" applyAlignment="1"/>
    <xf numFmtId="3" fontId="7" fillId="0" borderId="19" xfId="0" applyNumberFormat="1" applyFont="1" applyFill="1" applyBorder="1" applyAlignment="1"/>
    <xf numFmtId="42" fontId="7" fillId="0" borderId="9" xfId="0" applyNumberFormat="1" applyFont="1" applyFill="1" applyBorder="1" applyAlignment="1"/>
    <xf numFmtId="42" fontId="7" fillId="0" borderId="12" xfId="0" applyNumberFormat="1" applyFont="1" applyFill="1" applyBorder="1" applyAlignment="1"/>
    <xf numFmtId="0" fontId="17" fillId="0" borderId="7" xfId="0" applyNumberFormat="1" applyFont="1" applyBorder="1" applyAlignment="1">
      <alignment horizontal="right"/>
    </xf>
    <xf numFmtId="0" fontId="7" fillId="0" borderId="0" xfId="0" applyNumberFormat="1" applyFont="1" applyBorder="1" applyAlignment="1"/>
    <xf numFmtId="170" fontId="3" fillId="0" borderId="3" xfId="0" applyNumberFormat="1" applyFont="1" applyFill="1" applyBorder="1" applyAlignment="1"/>
    <xf numFmtId="0" fontId="17" fillId="0" borderId="0" xfId="0" applyNumberFormat="1" applyFont="1" applyAlignment="1">
      <alignment horizontal="left"/>
    </xf>
    <xf numFmtId="0" fontId="26" fillId="0" borderId="0" xfId="0" applyNumberFormat="1" applyFont="1" applyAlignment="1"/>
    <xf numFmtId="0" fontId="23" fillId="0" borderId="0" xfId="0" applyNumberFormat="1" applyFont="1" applyFill="1" applyBorder="1" applyAlignment="1">
      <alignment horizontal="center"/>
    </xf>
    <xf numFmtId="173" fontId="3" fillId="0" borderId="0" xfId="0" quotePrefix="1" applyNumberFormat="1" applyFont="1" applyFill="1" applyBorder="1" applyAlignment="1">
      <alignment horizontal="left"/>
    </xf>
    <xf numFmtId="17" fontId="3" fillId="0" borderId="0" xfId="0" applyNumberFormat="1" applyFont="1" applyFill="1" applyAlignment="1"/>
    <xf numFmtId="170" fontId="7" fillId="0" borderId="0" xfId="0" applyFont="1" applyFill="1" applyAlignment="1"/>
    <xf numFmtId="1" fontId="7" fillId="0" borderId="0" xfId="0" applyNumberFormat="1" applyFont="1" applyFill="1" applyAlignment="1"/>
    <xf numFmtId="170" fontId="7" fillId="0" borderId="0" xfId="0" applyFont="1" applyFill="1" applyAlignment="1">
      <alignment horizontal="right"/>
    </xf>
    <xf numFmtId="170" fontId="7" fillId="0" borderId="0" xfId="0" applyFont="1" applyFill="1" applyBorder="1" applyAlignment="1"/>
    <xf numFmtId="170" fontId="30" fillId="0" borderId="0" xfId="0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4" fillId="0" borderId="2" xfId="0" applyNumberFormat="1" applyFont="1" applyFill="1" applyBorder="1" applyAlignment="1"/>
    <xf numFmtId="41" fontId="3" fillId="0" borderId="8" xfId="0" applyNumberFormat="1" applyFont="1" applyFill="1" applyBorder="1" applyAlignment="1" applyProtection="1">
      <protection locked="0"/>
    </xf>
    <xf numFmtId="41" fontId="3" fillId="0" borderId="8" xfId="0" applyNumberFormat="1" applyFont="1" applyFill="1" applyBorder="1" applyAlignment="1"/>
    <xf numFmtId="9" fontId="3" fillId="0" borderId="0" xfId="0" applyNumberFormat="1" applyFont="1" applyFill="1" applyBorder="1" applyAlignment="1"/>
    <xf numFmtId="167" fontId="3" fillId="0" borderId="3" xfId="0" applyNumberFormat="1" applyFont="1" applyFill="1" applyBorder="1" applyAlignment="1"/>
    <xf numFmtId="10" fontId="7" fillId="0" borderId="0" xfId="0" applyNumberFormat="1" applyFont="1" applyAlignment="1"/>
    <xf numFmtId="0" fontId="26" fillId="0" borderId="0" xfId="0" applyNumberFormat="1" applyFont="1" applyAlignment="1">
      <alignment horizontal="right"/>
    </xf>
    <xf numFmtId="10" fontId="26" fillId="0" borderId="0" xfId="0" applyNumberFormat="1" applyFont="1" applyAlignment="1"/>
    <xf numFmtId="0" fontId="0" fillId="0" borderId="0" xfId="0" applyNumberFormat="1" applyFont="1" applyAlignment="1"/>
    <xf numFmtId="172" fontId="4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>
      <alignment horizontal="centerContinuous"/>
    </xf>
    <xf numFmtId="0" fontId="17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6" fontId="7" fillId="0" borderId="0" xfId="0" applyNumberFormat="1" applyFont="1" applyFill="1" applyAlignment="1">
      <alignment horizontal="right" wrapText="1"/>
    </xf>
    <xf numFmtId="10" fontId="7" fillId="0" borderId="0" xfId="0" applyNumberFormat="1" applyFont="1" applyFill="1" applyAlignment="1">
      <alignment horizontal="right"/>
    </xf>
    <xf numFmtId="10" fontId="7" fillId="0" borderId="0" xfId="0" applyNumberFormat="1" applyFont="1" applyFill="1" applyAlignment="1" applyProtection="1"/>
    <xf numFmtId="10" fontId="17" fillId="0" borderId="0" xfId="0" applyNumberFormat="1" applyFont="1" applyFill="1" applyAlignment="1" applyProtection="1"/>
    <xf numFmtId="10" fontId="21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 applyProtection="1"/>
    <xf numFmtId="165" fontId="7" fillId="0" borderId="0" xfId="0" applyNumberFormat="1" applyFont="1" applyFill="1" applyBorder="1" applyAlignment="1" applyProtection="1"/>
    <xf numFmtId="6" fontId="20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10" fontId="22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/>
    <xf numFmtId="165" fontId="4" fillId="0" borderId="3" xfId="0" applyNumberFormat="1" applyFont="1" applyFill="1" applyBorder="1" applyAlignment="1"/>
    <xf numFmtId="42" fontId="7" fillId="0" borderId="0" xfId="0" applyNumberFormat="1" applyFont="1" applyAlignment="1"/>
    <xf numFmtId="0" fontId="28" fillId="0" borderId="12" xfId="0" applyNumberFormat="1" applyFont="1" applyBorder="1" applyAlignment="1"/>
    <xf numFmtId="0" fontId="3" fillId="2" borderId="10" xfId="0" applyNumberFormat="1" applyFont="1" applyFill="1" applyBorder="1" applyAlignment="1"/>
    <xf numFmtId="0" fontId="3" fillId="0" borderId="21" xfId="0" applyNumberFormat="1" applyFont="1" applyFill="1" applyBorder="1" applyAlignment="1"/>
    <xf numFmtId="0" fontId="3" fillId="2" borderId="10" xfId="0" applyNumberFormat="1" applyFont="1" applyFill="1" applyBorder="1" applyAlignment="1">
      <alignment horizontal="left"/>
    </xf>
    <xf numFmtId="170" fontId="3" fillId="1" borderId="20" xfId="0" applyFont="1" applyFill="1" applyBorder="1" applyAlignment="1">
      <alignment horizontal="left"/>
    </xf>
    <xf numFmtId="41" fontId="3" fillId="1" borderId="8" xfId="0" applyNumberFormat="1" applyFont="1" applyFill="1" applyBorder="1" applyAlignment="1" applyProtection="1">
      <protection locked="0"/>
    </xf>
    <xf numFmtId="0" fontId="3" fillId="1" borderId="21" xfId="0" applyNumberFormat="1" applyFont="1" applyFill="1" applyBorder="1" applyAlignment="1"/>
    <xf numFmtId="41" fontId="3" fillId="1" borderId="0" xfId="0" applyNumberFormat="1" applyFont="1" applyFill="1" applyBorder="1" applyAlignment="1"/>
    <xf numFmtId="0" fontId="3" fillId="4" borderId="20" xfId="0" applyNumberFormat="1" applyFont="1" applyFill="1" applyBorder="1" applyAlignment="1">
      <alignment horizontal="left"/>
    </xf>
    <xf numFmtId="41" fontId="3" fillId="4" borderId="8" xfId="0" applyNumberFormat="1" applyFont="1" applyFill="1" applyBorder="1" applyAlignment="1"/>
    <xf numFmtId="0" fontId="3" fillId="4" borderId="21" xfId="0" applyNumberFormat="1" applyFont="1" applyFill="1" applyBorder="1" applyAlignment="1"/>
    <xf numFmtId="41" fontId="3" fillId="4" borderId="0" xfId="0" applyNumberFormat="1" applyFont="1" applyFill="1" applyBorder="1" applyAlignment="1"/>
    <xf numFmtId="170" fontId="3" fillId="0" borderId="0" xfId="0" applyFont="1" applyFill="1" applyAlignment="1">
      <alignment horizontal="left" indent="2"/>
    </xf>
    <xf numFmtId="170" fontId="3" fillId="0" borderId="3" xfId="0" applyFont="1" applyFill="1" applyBorder="1" applyAlignment="1">
      <alignment horizontal="left" indent="2"/>
    </xf>
    <xf numFmtId="0" fontId="3" fillId="0" borderId="0" xfId="3" applyNumberFormat="1" applyFont="1" applyFill="1" applyAlignment="1"/>
    <xf numFmtId="0" fontId="3" fillId="0" borderId="0" xfId="3" applyNumberFormat="1" applyFont="1" applyFill="1" applyAlignment="1">
      <alignment horizontal="left"/>
    </xf>
    <xf numFmtId="170" fontId="3" fillId="0" borderId="0" xfId="3" applyNumberFormat="1" applyFont="1" applyFill="1" applyAlignment="1"/>
    <xf numFmtId="170" fontId="3" fillId="0" borderId="9" xfId="3" applyNumberFormat="1" applyFont="1" applyFill="1" applyBorder="1" applyAlignment="1" applyProtection="1">
      <protection locked="0"/>
    </xf>
    <xf numFmtId="9" fontId="3" fillId="0" borderId="0" xfId="2" applyFont="1" applyFill="1" applyAlignment="1" applyProtection="1">
      <protection locked="0"/>
    </xf>
    <xf numFmtId="10" fontId="3" fillId="0" borderId="3" xfId="0" applyNumberFormat="1" applyFont="1" applyFill="1" applyBorder="1" applyAlignment="1">
      <alignment horizontal="right"/>
    </xf>
    <xf numFmtId="187" fontId="3" fillId="4" borderId="8" xfId="0" applyNumberFormat="1" applyFont="1" applyFill="1" applyBorder="1" applyAlignment="1"/>
    <xf numFmtId="187" fontId="3" fillId="0" borderId="0" xfId="0" applyNumberFormat="1" applyFont="1" applyFill="1" applyAlignment="1"/>
    <xf numFmtId="44" fontId="3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77" fontId="3" fillId="0" borderId="3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horizontal="right"/>
    </xf>
    <xf numFmtId="0" fontId="28" fillId="0" borderId="19" xfId="0" applyNumberFormat="1" applyFont="1" applyBorder="1" applyAlignment="1"/>
    <xf numFmtId="0" fontId="2" fillId="5" borderId="20" xfId="0" applyNumberFormat="1" applyFont="1" applyFill="1" applyBorder="1" applyAlignment="1"/>
    <xf numFmtId="170" fontId="31" fillId="5" borderId="8" xfId="0" applyFont="1" applyFill="1" applyBorder="1" applyAlignment="1">
      <alignment horizontal="center" wrapText="1"/>
    </xf>
    <xf numFmtId="170" fontId="31" fillId="5" borderId="23" xfId="0" applyFont="1" applyFill="1" applyBorder="1" applyAlignment="1">
      <alignment horizontal="center" wrapText="1"/>
    </xf>
    <xf numFmtId="0" fontId="32" fillId="5" borderId="21" xfId="0" applyNumberFormat="1" applyFont="1" applyFill="1" applyBorder="1" applyAlignment="1"/>
    <xf numFmtId="170" fontId="33" fillId="5" borderId="0" xfId="0" applyFont="1" applyFill="1" applyBorder="1" applyAlignment="1">
      <alignment horizontal="center" wrapText="1"/>
    </xf>
    <xf numFmtId="170" fontId="33" fillId="5" borderId="24" xfId="0" applyFont="1" applyFill="1" applyBorder="1" applyAlignment="1">
      <alignment horizontal="center" wrapText="1"/>
    </xf>
    <xf numFmtId="170" fontId="34" fillId="5" borderId="21" xfId="0" applyFont="1" applyFill="1" applyBorder="1" applyAlignment="1"/>
    <xf numFmtId="14" fontId="35" fillId="5" borderId="0" xfId="0" applyNumberFormat="1" applyFont="1" applyFill="1" applyBorder="1" applyAlignment="1">
      <alignment horizontal="center"/>
    </xf>
    <xf numFmtId="14" fontId="35" fillId="5" borderId="26" xfId="0" applyNumberFormat="1" applyFont="1" applyFill="1" applyBorder="1" applyAlignment="1">
      <alignment horizontal="center"/>
    </xf>
    <xf numFmtId="14" fontId="35" fillId="5" borderId="24" xfId="0" applyNumberFormat="1" applyFont="1" applyFill="1" applyBorder="1" applyAlignment="1">
      <alignment horizontal="center"/>
    </xf>
    <xf numFmtId="170" fontId="34" fillId="5" borderId="21" xfId="0" applyFont="1" applyFill="1" applyBorder="1" applyAlignment="1">
      <alignment horizontal="left"/>
    </xf>
    <xf numFmtId="14" fontId="34" fillId="5" borderId="0" xfId="0" applyNumberFormat="1" applyFont="1" applyFill="1" applyBorder="1" applyAlignment="1">
      <alignment horizontal="center"/>
    </xf>
    <xf numFmtId="14" fontId="34" fillId="5" borderId="26" xfId="0" applyNumberFormat="1" applyFont="1" applyFill="1" applyBorder="1" applyAlignment="1">
      <alignment horizontal="center"/>
    </xf>
    <xf numFmtId="14" fontId="34" fillId="5" borderId="24" xfId="0" applyNumberFormat="1" applyFont="1" applyFill="1" applyBorder="1" applyAlignment="1">
      <alignment horizontal="center"/>
    </xf>
    <xf numFmtId="170" fontId="34" fillId="5" borderId="22" xfId="0" applyFont="1" applyFill="1" applyBorder="1" applyAlignment="1">
      <alignment horizontal="left"/>
    </xf>
    <xf numFmtId="170" fontId="34" fillId="5" borderId="27" xfId="0" applyFont="1" applyFill="1" applyBorder="1" applyAlignment="1">
      <alignment horizontal="center"/>
    </xf>
    <xf numFmtId="170" fontId="34" fillId="5" borderId="28" xfId="0" applyFont="1" applyFill="1" applyBorder="1" applyAlignment="1">
      <alignment horizontal="center"/>
    </xf>
    <xf numFmtId="170" fontId="34" fillId="5" borderId="29" xfId="0" applyFont="1" applyFill="1" applyBorder="1" applyAlignment="1">
      <alignment horizontal="center"/>
    </xf>
    <xf numFmtId="170" fontId="34" fillId="5" borderId="30" xfId="0" applyFont="1" applyFill="1" applyBorder="1" applyAlignment="1">
      <alignment horizontal="center"/>
    </xf>
    <xf numFmtId="0" fontId="33" fillId="5" borderId="21" xfId="0" applyNumberFormat="1" applyFont="1" applyFill="1" applyBorder="1" applyAlignment="1"/>
    <xf numFmtId="10" fontId="33" fillId="5" borderId="31" xfId="0" applyNumberFormat="1" applyFont="1" applyFill="1" applyBorder="1" applyAlignment="1"/>
    <xf numFmtId="10" fontId="33" fillId="5" borderId="0" xfId="0" applyNumberFormat="1" applyFont="1" applyFill="1" applyBorder="1" applyAlignment="1"/>
    <xf numFmtId="10" fontId="33" fillId="5" borderId="32" xfId="0" applyNumberFormat="1" applyFont="1" applyFill="1" applyBorder="1" applyAlignment="1"/>
    <xf numFmtId="10" fontId="33" fillId="5" borderId="24" xfId="0" applyNumberFormat="1" applyFont="1" applyFill="1" applyBorder="1" applyAlignment="1"/>
    <xf numFmtId="10" fontId="33" fillId="5" borderId="33" xfId="0" applyNumberFormat="1" applyFont="1" applyFill="1" applyBorder="1" applyAlignment="1"/>
    <xf numFmtId="10" fontId="35" fillId="5" borderId="3" xfId="0" applyNumberFormat="1" applyFont="1" applyFill="1" applyBorder="1" applyAlignment="1"/>
    <xf numFmtId="10" fontId="33" fillId="5" borderId="34" xfId="0" applyNumberFormat="1" applyFont="1" applyFill="1" applyBorder="1" applyAlignment="1"/>
    <xf numFmtId="10" fontId="33" fillId="5" borderId="25" xfId="0" applyNumberFormat="1" applyFont="1" applyFill="1" applyBorder="1" applyAlignment="1"/>
    <xf numFmtId="10" fontId="33" fillId="6" borderId="32" xfId="0" applyNumberFormat="1" applyFont="1" applyFill="1" applyBorder="1" applyAlignment="1"/>
    <xf numFmtId="10" fontId="33" fillId="6" borderId="24" xfId="0" applyNumberFormat="1" applyFont="1" applyFill="1" applyBorder="1" applyAlignment="1"/>
    <xf numFmtId="170" fontId="34" fillId="5" borderId="31" xfId="0" applyFont="1" applyFill="1" applyBorder="1" applyAlignment="1"/>
    <xf numFmtId="170" fontId="34" fillId="5" borderId="0" xfId="0" applyFont="1" applyFill="1" applyBorder="1" applyAlignment="1"/>
    <xf numFmtId="170" fontId="34" fillId="5" borderId="32" xfId="0" applyFont="1" applyFill="1" applyBorder="1" applyAlignment="1"/>
    <xf numFmtId="170" fontId="34" fillId="5" borderId="24" xfId="0" applyFont="1" applyFill="1" applyBorder="1" applyAlignment="1"/>
    <xf numFmtId="10" fontId="33" fillId="5" borderId="3" xfId="0" applyNumberFormat="1" applyFont="1" applyFill="1" applyBorder="1" applyAlignment="1"/>
    <xf numFmtId="10" fontId="33" fillId="5" borderId="35" xfId="0" applyNumberFormat="1" applyFont="1" applyFill="1" applyBorder="1" applyAlignment="1"/>
    <xf numFmtId="10" fontId="33" fillId="5" borderId="36" xfId="0" applyNumberFormat="1" applyFont="1" applyFill="1" applyBorder="1" applyAlignment="1"/>
    <xf numFmtId="10" fontId="33" fillId="5" borderId="37" xfId="0" applyNumberFormat="1" applyFont="1" applyFill="1" applyBorder="1" applyAlignment="1"/>
    <xf numFmtId="10" fontId="33" fillId="5" borderId="16" xfId="0" applyNumberFormat="1" applyFont="1" applyFill="1" applyBorder="1" applyAlignment="1"/>
    <xf numFmtId="170" fontId="36" fillId="5" borderId="21" xfId="0" applyFont="1" applyFill="1" applyBorder="1" applyAlignment="1"/>
    <xf numFmtId="0" fontId="33" fillId="5" borderId="21" xfId="0" applyNumberFormat="1" applyFont="1" applyFill="1" applyBorder="1" applyAlignment="1">
      <alignment horizontal="left"/>
    </xf>
    <xf numFmtId="0" fontId="33" fillId="5" borderId="0" xfId="0" applyNumberFormat="1" applyFont="1" applyFill="1" applyBorder="1" applyAlignment="1"/>
    <xf numFmtId="170" fontId="33" fillId="5" borderId="0" xfId="0" applyNumberFormat="1" applyFont="1" applyFill="1" applyBorder="1" applyAlignment="1"/>
    <xf numFmtId="170" fontId="33" fillId="5" borderId="24" xfId="0" applyNumberFormat="1" applyFont="1" applyFill="1" applyBorder="1" applyAlignment="1"/>
    <xf numFmtId="165" fontId="33" fillId="5" borderId="0" xfId="0" applyNumberFormat="1" applyFont="1" applyFill="1" applyBorder="1" applyAlignment="1"/>
    <xf numFmtId="170" fontId="33" fillId="5" borderId="3" xfId="0" applyNumberFormat="1" applyFont="1" applyFill="1" applyBorder="1" applyAlignment="1"/>
    <xf numFmtId="170" fontId="33" fillId="5" borderId="25" xfId="0" applyNumberFormat="1" applyFont="1" applyFill="1" applyBorder="1" applyAlignment="1"/>
    <xf numFmtId="169" fontId="34" fillId="5" borderId="0" xfId="0" applyNumberFormat="1" applyFont="1" applyFill="1" applyBorder="1" applyAlignment="1"/>
    <xf numFmtId="169" fontId="33" fillId="5" borderId="0" xfId="0" applyNumberFormat="1" applyFont="1" applyFill="1" applyBorder="1" applyAlignment="1"/>
    <xf numFmtId="169" fontId="35" fillId="5" borderId="0" xfId="0" applyNumberFormat="1" applyFont="1" applyFill="1" applyBorder="1" applyAlignment="1"/>
    <xf numFmtId="169" fontId="35" fillId="5" borderId="24" xfId="0" applyNumberFormat="1" applyFont="1" applyFill="1" applyBorder="1" applyAlignment="1"/>
    <xf numFmtId="9" fontId="33" fillId="5" borderId="0" xfId="0" applyNumberFormat="1" applyFont="1" applyFill="1" applyBorder="1" applyAlignment="1"/>
    <xf numFmtId="0" fontId="33" fillId="5" borderId="22" xfId="0" applyNumberFormat="1" applyFont="1" applyFill="1" applyBorder="1" applyAlignment="1">
      <alignment horizontal="left"/>
    </xf>
    <xf numFmtId="170" fontId="34" fillId="5" borderId="3" xfId="0" applyFont="1" applyFill="1" applyBorder="1" applyAlignment="1"/>
    <xf numFmtId="0" fontId="33" fillId="5" borderId="3" xfId="0" applyNumberFormat="1" applyFont="1" applyFill="1" applyBorder="1" applyAlignment="1"/>
    <xf numFmtId="170" fontId="35" fillId="6" borderId="9" xfId="0" applyNumberFormat="1" applyFont="1" applyFill="1" applyBorder="1" applyAlignment="1" applyProtection="1">
      <protection locked="0"/>
    </xf>
    <xf numFmtId="10" fontId="28" fillId="5" borderId="12" xfId="0" applyNumberFormat="1" applyFont="1" applyFill="1" applyBorder="1" applyAlignment="1"/>
    <xf numFmtId="170" fontId="28" fillId="5" borderId="12" xfId="0" applyNumberFormat="1" applyFont="1" applyFill="1" applyBorder="1" applyAlignment="1"/>
    <xf numFmtId="170" fontId="28" fillId="0" borderId="12" xfId="0" applyNumberFormat="1" applyFont="1" applyFill="1" applyBorder="1" applyAlignment="1"/>
    <xf numFmtId="170" fontId="37" fillId="0" borderId="0" xfId="0" applyFont="1" applyFill="1" applyAlignment="1"/>
    <xf numFmtId="0" fontId="37" fillId="0" borderId="0" xfId="0" applyNumberFormat="1" applyFont="1" applyFill="1" applyAlignment="1">
      <alignment horizontal="left"/>
    </xf>
    <xf numFmtId="42" fontId="3" fillId="0" borderId="0" xfId="3" applyNumberFormat="1" applyFont="1" applyFill="1" applyAlignment="1"/>
    <xf numFmtId="42" fontId="3" fillId="0" borderId="0" xfId="2" applyNumberFormat="1" applyFont="1" applyFill="1" applyAlignment="1" applyProtection="1">
      <protection locked="0"/>
    </xf>
    <xf numFmtId="42" fontId="37" fillId="0" borderId="0" xfId="0" applyNumberFormat="1" applyFont="1" applyFill="1" applyAlignment="1"/>
    <xf numFmtId="177" fontId="37" fillId="0" borderId="0" xfId="1" applyNumberFormat="1" applyFont="1" applyFill="1"/>
    <xf numFmtId="177" fontId="37" fillId="0" borderId="0" xfId="1" applyNumberFormat="1" applyFont="1" applyFill="1" applyBorder="1"/>
    <xf numFmtId="177" fontId="37" fillId="0" borderId="3" xfId="0" applyNumberFormat="1" applyFont="1" applyFill="1" applyBorder="1" applyAlignment="1"/>
    <xf numFmtId="177" fontId="37" fillId="0" borderId="3" xfId="1" applyNumberFormat="1" applyFont="1" applyFill="1" applyBorder="1"/>
  </cellXfs>
  <cellStyles count="5">
    <cellStyle name="Comma" xfId="1" builtinId="3"/>
    <cellStyle name="Normal" xfId="0" builtinId="0"/>
    <cellStyle name="Normal 4 2 2" xfId="4"/>
    <cellStyle name="Normal 8" xfId="3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CCFF33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45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tyles" Target="styles.xml"/><Relationship Id="rId20" Type="http://schemas.openxmlformats.org/officeDocument/2006/relationships/externalLink" Target="externalLinks/externalLink11.xml"/><Relationship Id="rId4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20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20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0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20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20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20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20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20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20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20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.21G%20Remove%20Tacoma%20LNG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01G%20Conversion%20Factor%20Dec%202020%20CB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20%20CB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20%20CB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.19E%20&amp;%203.19G%20Remove%20AMI%20Ratebase%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20%20CB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0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Dec_31_19/Workpapers%20-%20Dirty%20Dec%202019%20CBR/%23EL%20Dec%202018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%23New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</sheetNames>
    <sheetDataSet>
      <sheetData sheetId="0">
        <row r="26">
          <cell r="C26">
            <v>4504512170</v>
          </cell>
          <cell r="D26">
            <v>0.51180000000000003</v>
          </cell>
          <cell r="F26">
            <v>2.6699999999999998E-2</v>
          </cell>
        </row>
        <row r="28">
          <cell r="C28">
            <v>4297150270</v>
          </cell>
          <cell r="E28">
            <v>9.4700000000000006E-2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CBR_Gas"/>
      <sheetName val="BW- Gas 410-411"/>
      <sheetName val="EDIT Turnaround"/>
    </sheetNames>
    <sheetDataSet>
      <sheetData sheetId="0"/>
      <sheetData sheetId="1">
        <row r="13">
          <cell r="C13">
            <v>139295225.91884428</v>
          </cell>
        </row>
        <row r="16">
          <cell r="C16">
            <v>29251997.442957297</v>
          </cell>
        </row>
        <row r="17">
          <cell r="C17">
            <v>7046852.2021699976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23884435.68</v>
          </cell>
        </row>
        <row r="24">
          <cell r="C24">
            <v>79467745.569999993</v>
          </cell>
        </row>
        <row r="25">
          <cell r="C25">
            <v>-67260307.109999999</v>
          </cell>
        </row>
        <row r="26">
          <cell r="C26">
            <v>0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0"/>
      <sheetName val="2020 AllocFactrs"/>
      <sheetName val="2019 Allocation Factors"/>
    </sheetNames>
    <sheetDataSet>
      <sheetData sheetId="0">
        <row r="14">
          <cell r="C14">
            <v>4457528.6000000006</v>
          </cell>
          <cell r="D14">
            <v>896161552.14999998</v>
          </cell>
          <cell r="E14">
            <v>14277246.51</v>
          </cell>
          <cell r="F14">
            <v>881884305.63999999</v>
          </cell>
        </row>
        <row r="15">
          <cell r="C15">
            <v>4875798.22</v>
          </cell>
          <cell r="D15">
            <v>985378965.08999991</v>
          </cell>
          <cell r="E15">
            <v>12751981.48</v>
          </cell>
          <cell r="F15">
            <v>972626983.6099999</v>
          </cell>
        </row>
        <row r="16">
          <cell r="C16">
            <v>2799841.3412500005</v>
          </cell>
          <cell r="D16">
            <v>818021856.11000013</v>
          </cell>
          <cell r="E16">
            <v>16532125.48</v>
          </cell>
          <cell r="F16">
            <v>801489730.63000011</v>
          </cell>
        </row>
        <row r="20">
          <cell r="D20">
            <v>980913341.17999995</v>
          </cell>
          <cell r="E20">
            <v>26264386.190000001</v>
          </cell>
          <cell r="F20">
            <v>954648954.98999989</v>
          </cell>
        </row>
        <row r="27">
          <cell r="F27">
            <v>4245353.5383418314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>
        <row r="12">
          <cell r="C12">
            <v>82704017.022375003</v>
          </cell>
        </row>
      </sheetData>
      <sheetData sheetId="2">
        <row r="12">
          <cell r="C12">
            <v>37106839.317624979</v>
          </cell>
          <cell r="D12">
            <v>37105632.841624983</v>
          </cell>
        </row>
        <row r="13">
          <cell r="C13">
            <v>1939143</v>
          </cell>
          <cell r="D13">
            <v>1909247.9099799998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 Elec"/>
      <sheetName val=" Gas"/>
      <sheetName val="Main wp"/>
      <sheetName val="CE Allocation"/>
      <sheetName val="Director's Fees"/>
      <sheetName val="Support==&gt;"/>
      <sheetName val="JE719"/>
      <sheetName val="Labor"/>
      <sheetName val="Order Settlement Percents"/>
      <sheetName val="report_Manager_and_Above 2020"/>
      <sheetName val="invoices"/>
    </sheetNames>
    <sheetDataSet>
      <sheetData sheetId="0"/>
      <sheetData sheetId="1">
        <row r="12">
          <cell r="C12">
            <v>84803.274004035367</v>
          </cell>
        </row>
      </sheetData>
      <sheetData sheetId="2">
        <row r="12">
          <cell r="C12">
            <v>61057.190399190244</v>
          </cell>
          <cell r="D12">
            <v>47450.287067614896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BW70_DOWNLOAD"/>
      <sheetName val="E&amp;G Split"/>
      <sheetName val="2020 PO "/>
      <sheetName val="Jan.20"/>
      <sheetName val="Feb.20"/>
      <sheetName val="Mar.20"/>
      <sheetName val="Apr.20"/>
      <sheetName val="May.20"/>
      <sheetName val="Jun.20"/>
      <sheetName val="Jul.20"/>
      <sheetName val="Aug.20"/>
      <sheetName val="Sep.20"/>
      <sheetName val="Oct.20"/>
      <sheetName val="Nov.20"/>
      <sheetName val="Dec.20"/>
    </sheetNames>
    <sheetDataSet>
      <sheetData sheetId="0">
        <row r="11">
          <cell r="D11">
            <v>316905.9521234514</v>
          </cell>
        </row>
      </sheetData>
      <sheetData sheetId="1">
        <row r="12">
          <cell r="D12">
            <v>80668.137876548644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Qual Consolidated 12-2020"/>
    </sheetNames>
    <sheetDataSet>
      <sheetData sheetId="0">
        <row r="14">
          <cell r="C14">
            <v>5948795.8488943176</v>
          </cell>
        </row>
      </sheetData>
      <sheetData sheetId="1">
        <row r="14">
          <cell r="C14">
            <v>2438058.5834958102</v>
          </cell>
          <cell r="D14">
            <v>2568319.8736279211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20"/>
      <sheetName val="ZO12 Inj &amp; Dam 12ME 12-2019"/>
      <sheetName val="ZO12 Inj &amp; Dam 12ME 12-2018"/>
    </sheetNames>
    <sheetDataSet>
      <sheetData sheetId="0">
        <row r="13">
          <cell r="C13">
            <v>-992091.64</v>
          </cell>
        </row>
      </sheetData>
      <sheetData sheetId="1">
        <row r="13">
          <cell r="C13">
            <v>147750</v>
          </cell>
          <cell r="D13">
            <v>-451632.50666666665</v>
          </cell>
        </row>
        <row r="14">
          <cell r="C14">
            <v>376283.07590591279</v>
          </cell>
          <cell r="D14">
            <v>741955.42835136375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3.05 "/>
      <sheetName val="SOG 12ME Dec 20 2nd Close"/>
      <sheetName val="BW query"/>
      <sheetName val="SC 137 Carb Offset 12ME 12-2020"/>
      <sheetName val="SOGE Mu Tx Wtr Htr 12ME 12-2020"/>
      <sheetName val="SOGE Muni Tax 12ME 12-2020"/>
      <sheetName val="ZO12 Decoup 12ME 12-2020"/>
      <sheetName val="SCH 140 Prop Tax 12ME 12-2020"/>
      <sheetName val="2019 CBR=&gt;"/>
      <sheetName val="ZO12 Gas Exp 12ME 12-2019"/>
      <sheetName val="Sheet1"/>
      <sheetName val="SC120G Cons 12ME 12-2019"/>
    </sheetNames>
    <sheetDataSet>
      <sheetData sheetId="0"/>
      <sheetData sheetId="1">
        <row r="10">
          <cell r="E10">
            <v>5323295.8099999996</v>
          </cell>
        </row>
        <row r="11">
          <cell r="E11">
            <v>18064609.91</v>
          </cell>
        </row>
        <row r="12">
          <cell r="E12">
            <v>19024350.539999999</v>
          </cell>
        </row>
        <row r="13">
          <cell r="E13">
            <v>64029591.641323216</v>
          </cell>
        </row>
        <row r="14">
          <cell r="E14">
            <v>627136.91</v>
          </cell>
        </row>
        <row r="15">
          <cell r="E15">
            <v>-548734.71999999997</v>
          </cell>
        </row>
        <row r="16">
          <cell r="E16">
            <v>6786894.1693127574</v>
          </cell>
        </row>
        <row r="17">
          <cell r="E17">
            <v>-6478450.1900000004</v>
          </cell>
        </row>
        <row r="18">
          <cell r="E18">
            <v>44480264.130000003</v>
          </cell>
        </row>
        <row r="19">
          <cell r="E19">
            <v>252317.05</v>
          </cell>
        </row>
        <row r="23">
          <cell r="E23">
            <v>-686143.07828078093</v>
          </cell>
        </row>
        <row r="24">
          <cell r="E24">
            <v>-303603.13198264648</v>
          </cell>
        </row>
        <row r="25">
          <cell r="E25">
            <v>-5820982.8495032806</v>
          </cell>
        </row>
        <row r="29">
          <cell r="E29">
            <v>-5081318.04</v>
          </cell>
        </row>
        <row r="30">
          <cell r="E30">
            <v>-17243356.620000001</v>
          </cell>
        </row>
        <row r="31">
          <cell r="E31">
            <v>-18159465.670000002</v>
          </cell>
        </row>
        <row r="32">
          <cell r="E32">
            <v>-61119638.789999999</v>
          </cell>
        </row>
        <row r="33">
          <cell r="E33">
            <v>-353059.98</v>
          </cell>
        </row>
        <row r="34">
          <cell r="E34">
            <v>-42936417.390000001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20"/>
      <sheetName val="Manual Clearing"/>
      <sheetName val="PR Taxes"/>
    </sheetNames>
    <sheetDataSet>
      <sheetData sheetId="0">
        <row r="12">
          <cell r="C12">
            <v>4516702.6374964612</v>
          </cell>
        </row>
      </sheetData>
      <sheetData sheetId="1">
        <row r="12">
          <cell r="C12">
            <v>1828892.0704246743</v>
          </cell>
          <cell r="D12">
            <v>3569102.9026982067</v>
          </cell>
        </row>
        <row r="14">
          <cell r="C14">
            <v>157650.49647060691</v>
          </cell>
          <cell r="D14">
            <v>307656.67021258542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1G"/>
      <sheetName val="LNG O&amp;M"/>
      <sheetName val="Plant Assets"/>
      <sheetName val="LNG Detail "/>
      <sheetName val="ADIT"/>
    </sheetNames>
    <sheetDataSet>
      <sheetData sheetId="0">
        <row r="15">
          <cell r="D15">
            <v>545.98</v>
          </cell>
          <cell r="E15">
            <v>0</v>
          </cell>
          <cell r="F15">
            <v>-545.98</v>
          </cell>
        </row>
        <row r="16">
          <cell r="D16">
            <v>18544.370000000003</v>
          </cell>
          <cell r="E16">
            <v>0</v>
          </cell>
          <cell r="F16">
            <v>-18544.370000000003</v>
          </cell>
        </row>
        <row r="17">
          <cell r="D17">
            <v>831691.83336941712</v>
          </cell>
          <cell r="E17">
            <v>0</v>
          </cell>
          <cell r="F17">
            <v>-831691.83336941712</v>
          </cell>
        </row>
        <row r="18">
          <cell r="D18">
            <v>-178664.25850757759</v>
          </cell>
          <cell r="E18">
            <v>0</v>
          </cell>
          <cell r="F18">
            <v>178664.25850757759</v>
          </cell>
        </row>
        <row r="22">
          <cell r="D22">
            <v>34130739.618749999</v>
          </cell>
          <cell r="E22">
            <v>0</v>
          </cell>
          <cell r="F22">
            <v>-34130739.618749999</v>
          </cell>
        </row>
        <row r="23">
          <cell r="D23">
            <v>-2736033.3935930612</v>
          </cell>
          <cell r="E23">
            <v>0</v>
          </cell>
          <cell r="F23">
            <v>2736033.3935930612</v>
          </cell>
        </row>
        <row r="24">
          <cell r="D24">
            <v>-7211132.0000000009</v>
          </cell>
          <cell r="E24">
            <v>0</v>
          </cell>
          <cell r="F24">
            <v>7211132.0000000009</v>
          </cell>
        </row>
        <row r="25">
          <cell r="D25">
            <v>24183574.225156937</v>
          </cell>
          <cell r="E25">
            <v>0</v>
          </cell>
          <cell r="F25">
            <v>-24183574.225156937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7.4689999999999999E-3</v>
          </cell>
        </row>
      </sheetData>
      <sheetData sheetId="1">
        <row r="14">
          <cell r="E14">
            <v>2E-3</v>
          </cell>
        </row>
        <row r="15">
          <cell r="D15">
            <v>3.8519999999999999E-2</v>
          </cell>
          <cell r="E15">
            <v>3.8345999999999998E-2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2G"/>
      <sheetName val="SOG 12-12-2020"/>
      <sheetName val="Rev Sharing 12ME 12 2020"/>
      <sheetName val="Gas Oth Oper Rev"/>
      <sheetName val="Gas Rentals in Sch 132"/>
    </sheetNames>
    <sheetDataSet>
      <sheetData sheetId="0">
        <row r="13">
          <cell r="D13">
            <v>3908159.36</v>
          </cell>
        </row>
        <row r="14">
          <cell r="D14">
            <v>397000.86</v>
          </cell>
        </row>
        <row r="15">
          <cell r="E15">
            <v>4305160.22</v>
          </cell>
        </row>
        <row r="19">
          <cell r="D19">
            <v>-1.03</v>
          </cell>
        </row>
        <row r="37">
          <cell r="D37"/>
        </row>
      </sheetData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Summary PCORCs"/>
    </sheetNames>
    <sheetDataSet>
      <sheetData sheetId="0">
        <row r="16">
          <cell r="D16">
            <v>1343000</v>
          </cell>
        </row>
      </sheetData>
      <sheetData sheetId="1">
        <row r="15">
          <cell r="D15">
            <v>1343000</v>
          </cell>
        </row>
        <row r="18">
          <cell r="D18">
            <v>467220.50100000005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9E"/>
      <sheetName val="3.19G"/>
      <sheetName val="2020 AMI in  Ratebase"/>
      <sheetName val="Plant Assets"/>
      <sheetName val="DFIT"/>
      <sheetName val="WBS &amp; WO"/>
    </sheetNames>
    <sheetDataSet>
      <sheetData sheetId="0">
        <row r="14">
          <cell r="C14">
            <v>140623727.13213542</v>
          </cell>
        </row>
      </sheetData>
      <sheetData sheetId="1">
        <row r="14">
          <cell r="C14">
            <v>63016559.436197914</v>
          </cell>
        </row>
        <row r="15">
          <cell r="C15">
            <v>-9824683.04666931</v>
          </cell>
        </row>
        <row r="16">
          <cell r="C16">
            <v>-3352943.6268749987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</sheetNames>
    <sheetDataSet>
      <sheetData sheetId="0"/>
      <sheetData sheetId="1">
        <row r="9">
          <cell r="B9">
            <v>2108413255.02</v>
          </cell>
          <cell r="C9">
            <v>954648954.98999989</v>
          </cell>
        </row>
        <row r="12">
          <cell r="C12">
            <v>26264386.190000001</v>
          </cell>
        </row>
        <row r="19">
          <cell r="C19">
            <v>362871835.14000005</v>
          </cell>
        </row>
        <row r="24">
          <cell r="C24">
            <v>6360508.2700000014</v>
          </cell>
        </row>
        <row r="25">
          <cell r="C25">
            <v>0</v>
          </cell>
        </row>
        <row r="26">
          <cell r="C26">
            <v>57259641.000000007</v>
          </cell>
        </row>
        <row r="27">
          <cell r="C27">
            <v>28681541.290000003</v>
          </cell>
        </row>
        <row r="28">
          <cell r="C28">
            <v>7307589.8199999994</v>
          </cell>
        </row>
        <row r="29">
          <cell r="C29">
            <v>17243356.620000001</v>
          </cell>
        </row>
        <row r="30">
          <cell r="C30">
            <v>58940227.159999996</v>
          </cell>
        </row>
        <row r="31">
          <cell r="C31">
            <v>133374904.27999999</v>
          </cell>
        </row>
        <row r="32">
          <cell r="C32">
            <v>42952436.620000005</v>
          </cell>
        </row>
        <row r="33">
          <cell r="C33">
            <v>0</v>
          </cell>
        </row>
        <row r="34">
          <cell r="C34">
            <v>-3762566.3199999989</v>
          </cell>
        </row>
        <row r="35">
          <cell r="C35">
            <v>102014786.17999999</v>
          </cell>
        </row>
        <row r="36">
          <cell r="C36">
            <v>23884435.68</v>
          </cell>
        </row>
        <row r="37">
          <cell r="C37">
            <v>12207438.459999993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. For CBR"/>
      <sheetName val="Weather Adj. Volumes"/>
    </sheetNames>
    <sheetDataSet>
      <sheetData sheetId="0">
        <row r="16">
          <cell r="C16">
            <v>21234710.204948217</v>
          </cell>
          <cell r="D16">
            <v>22050678.15554332</v>
          </cell>
        </row>
        <row r="17">
          <cell r="C17">
            <v>38880433.253616564</v>
          </cell>
          <cell r="D17">
            <v>39018276.722160347</v>
          </cell>
        </row>
        <row r="18">
          <cell r="C18">
            <v>3468428.6282654516</v>
          </cell>
          <cell r="D18">
            <v>2955124.7074599657</v>
          </cell>
        </row>
        <row r="19">
          <cell r="C19">
            <v>16712191.635991409</v>
          </cell>
          <cell r="D19">
            <v>17088049.517488074</v>
          </cell>
        </row>
        <row r="20">
          <cell r="C20">
            <v>16996371.039634638</v>
          </cell>
          <cell r="D20">
            <v>17351147.126015082</v>
          </cell>
        </row>
        <row r="21">
          <cell r="C21">
            <v>19602623.218116555</v>
          </cell>
          <cell r="D21">
            <v>19669390.598120369</v>
          </cell>
        </row>
        <row r="22">
          <cell r="C22">
            <v>14644069.905900959</v>
          </cell>
          <cell r="D22">
            <v>14644069.905900959</v>
          </cell>
        </row>
        <row r="23">
          <cell r="C23">
            <v>18780791.609814785</v>
          </cell>
          <cell r="D23">
            <v>18780791.609814785</v>
          </cell>
        </row>
        <row r="24">
          <cell r="C24">
            <v>17954690.451314159</v>
          </cell>
          <cell r="D24">
            <v>18208262.043714158</v>
          </cell>
        </row>
        <row r="25">
          <cell r="C25">
            <v>18139687.066182643</v>
          </cell>
          <cell r="D25">
            <v>18443001.97735564</v>
          </cell>
        </row>
        <row r="26">
          <cell r="C26">
            <v>19537734.285945635</v>
          </cell>
          <cell r="D26">
            <v>19656528.711596675</v>
          </cell>
        </row>
        <row r="27">
          <cell r="C27">
            <v>24630204.156827584</v>
          </cell>
          <cell r="D27">
            <v>25460261.748289913</v>
          </cell>
        </row>
        <row r="30">
          <cell r="E30">
            <v>16129.825610938497</v>
          </cell>
        </row>
        <row r="31">
          <cell r="E31">
            <v>9847.6674764216514</v>
          </cell>
        </row>
        <row r="32">
          <cell r="E32">
            <v>16236.555340854167</v>
          </cell>
        </row>
        <row r="33">
          <cell r="E33">
            <v>9888.0155527357201</v>
          </cell>
        </row>
        <row r="34">
          <cell r="E34">
            <v>14175.964111303434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AMA"/>
      <sheetName val="GRB AMA"/>
      <sheetName val="WC "/>
      <sheetName val="Recon=&gt;"/>
      <sheetName val="BS and CWC Recon, p1"/>
      <sheetName val="BS and CWC Recon, p2"/>
      <sheetName val="PPXLSaveData0"/>
      <sheetName val="PPXLFunctions"/>
      <sheetName val="PPXLOpen"/>
      <sheetName val="Lead"/>
    </sheetNames>
    <sheetDataSet>
      <sheetData sheetId="0"/>
      <sheetData sheetId="1">
        <row r="96">
          <cell r="D96">
            <v>11042232704.161736</v>
          </cell>
        </row>
      </sheetData>
      <sheetData sheetId="2">
        <row r="19">
          <cell r="C19">
            <v>4727170999.589098</v>
          </cell>
        </row>
        <row r="21">
          <cell r="C21">
            <v>-1668537932.0125</v>
          </cell>
        </row>
        <row r="22">
          <cell r="C22">
            <v>-142606908.541125</v>
          </cell>
        </row>
        <row r="23">
          <cell r="C23">
            <v>-8576843.0091666654</v>
          </cell>
        </row>
        <row r="24">
          <cell r="C24">
            <v>-1832346.7991718752</v>
          </cell>
        </row>
        <row r="25">
          <cell r="C25">
            <v>-580192437.83624995</v>
          </cell>
        </row>
        <row r="26">
          <cell r="C26">
            <v>-23117539.028624997</v>
          </cell>
        </row>
        <row r="27">
          <cell r="C27">
            <v>12137684.611979166</v>
          </cell>
        </row>
        <row r="28">
          <cell r="C28">
            <v>-8464348.3878281228</v>
          </cell>
        </row>
        <row r="32">
          <cell r="C32">
            <v>69149744.544613451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/>
      <sheetData sheetId="4">
        <row r="7">
          <cell r="B7" t="str">
            <v>FOR THE TWELVE MONTHS ENDED SEPTEMBER 30,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  <sheetName val="Not Used FIT Est Only==&gt;"/>
      <sheetName val="ETR"/>
      <sheetName val="Adjustment No 5 FIT"/>
      <sheetName val="ARAM"/>
    </sheetNames>
    <sheetDataSet>
      <sheetData sheetId="0"/>
      <sheetData sheetId="1"/>
      <sheetData sheetId="2">
        <row r="4">
          <cell r="A4" t="str">
            <v>PUGET SOUND ENERGY-ELECTRIC</v>
          </cell>
        </row>
        <row r="12">
          <cell r="CQ12">
            <v>0</v>
          </cell>
        </row>
      </sheetData>
      <sheetData sheetId="3"/>
      <sheetData sheetId="4">
        <row r="20">
          <cell r="L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Common Adj"/>
      <sheetName val="Gas Adj"/>
      <sheetName val="Named Ranges"/>
      <sheetName val="ETR GRC vs CBR"/>
      <sheetName val="Check ETR"/>
      <sheetName val="FIT Adj"/>
      <sheetName val="Verify"/>
      <sheetName val="ARAM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0.21</v>
          </cell>
        </row>
        <row r="4">
          <cell r="C4" t="str">
            <v>2019 GENERAL RATE CASE</v>
          </cell>
        </row>
        <row r="6">
          <cell r="C6" t="str">
            <v>UG_________</v>
          </cell>
        </row>
        <row r="8">
          <cell r="C8" t="str">
            <v xml:space="preserve">PUGET SOUND ENERGY 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5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5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customProperty" Target="../customProperty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tabSelected="1" workbookViewId="0">
      <selection activeCell="A41" sqref="A41"/>
    </sheetView>
  </sheetViews>
  <sheetFormatPr defaultColWidth="10.6640625" defaultRowHeight="12.75" x14ac:dyDescent="0.2"/>
  <cols>
    <col min="1" max="1" width="42.83203125" style="171" bestFit="1" customWidth="1"/>
    <col min="2" max="2" width="6.6640625" style="171" customWidth="1"/>
    <col min="3" max="3" width="19.6640625" style="171" customWidth="1"/>
    <col min="4" max="4" width="17" style="171" bestFit="1" customWidth="1"/>
    <col min="5" max="5" width="19.83203125" style="171" customWidth="1"/>
    <col min="6" max="6" width="6.6640625" style="171" bestFit="1" customWidth="1"/>
    <col min="7" max="7" width="10.6640625" style="171"/>
    <col min="8" max="8" width="19.5" style="171" bestFit="1" customWidth="1"/>
    <col min="9" max="9" width="10.6640625" style="171"/>
    <col min="10" max="10" width="16.1640625" style="171" bestFit="1" customWidth="1"/>
    <col min="11" max="16384" width="10.6640625" style="171"/>
  </cols>
  <sheetData>
    <row r="1" spans="1:8" ht="13.5" thickBot="1" x14ac:dyDescent="0.25">
      <c r="A1" s="170" t="s">
        <v>248</v>
      </c>
      <c r="D1" s="466"/>
      <c r="E1" s="465">
        <v>1.01</v>
      </c>
    </row>
    <row r="2" spans="1:8" x14ac:dyDescent="0.2">
      <c r="A2" s="468" t="str">
        <f>TESTYEAR</f>
        <v>FOR THE TWELVE MONTHS ENDED DECEMBER 31, 2020</v>
      </c>
    </row>
    <row r="3" spans="1:8" x14ac:dyDescent="0.2">
      <c r="A3" s="280"/>
    </row>
    <row r="4" spans="1:8" x14ac:dyDescent="0.2">
      <c r="C4" s="410" t="s">
        <v>249</v>
      </c>
      <c r="D4" s="410" t="s">
        <v>250</v>
      </c>
      <c r="E4" s="410" t="s">
        <v>247</v>
      </c>
    </row>
    <row r="5" spans="1:8" x14ac:dyDescent="0.2">
      <c r="B5" s="173"/>
      <c r="C5" s="172" t="s">
        <v>251</v>
      </c>
      <c r="D5" s="172" t="s">
        <v>252</v>
      </c>
      <c r="E5" s="172" t="s">
        <v>252</v>
      </c>
      <c r="F5" s="173"/>
    </row>
    <row r="7" spans="1:8" x14ac:dyDescent="0.2">
      <c r="A7" s="171" t="s">
        <v>130</v>
      </c>
      <c r="B7" s="171" t="s">
        <v>119</v>
      </c>
      <c r="C7" s="174">
        <f>+model!DA44</f>
        <v>146682587.0829891</v>
      </c>
      <c r="D7" s="174">
        <f>-'Earnings Sharing-CBR to Adj CBR'!I18</f>
        <v>0</v>
      </c>
      <c r="E7" s="174">
        <f>SUM(C7:D7)</f>
        <v>146682587.0829891</v>
      </c>
    </row>
    <row r="8" spans="1:8" x14ac:dyDescent="0.2">
      <c r="A8" s="171" t="s">
        <v>131</v>
      </c>
      <c r="B8" s="171" t="s">
        <v>120</v>
      </c>
      <c r="C8" s="174">
        <f>+model!DA46</f>
        <v>2301107566.1432133</v>
      </c>
      <c r="D8" s="174">
        <v>0</v>
      </c>
      <c r="E8" s="174">
        <f>C8+D8</f>
        <v>2301107566.1432133</v>
      </c>
    </row>
    <row r="9" spans="1:8" x14ac:dyDescent="0.2">
      <c r="B9" s="175"/>
      <c r="C9" s="174"/>
      <c r="D9" s="174"/>
      <c r="E9" s="174"/>
    </row>
    <row r="10" spans="1:8" x14ac:dyDescent="0.2">
      <c r="A10" s="170" t="s">
        <v>134</v>
      </c>
      <c r="B10" s="177" t="s">
        <v>121</v>
      </c>
      <c r="C10" s="176">
        <f>+C7/C8</f>
        <v>6.3744341742718882E-2</v>
      </c>
      <c r="D10" s="176">
        <f>E10-C10</f>
        <v>-4.434174271887581E-5</v>
      </c>
      <c r="E10" s="176">
        <f>ROUND(+E7/E8,4)</f>
        <v>6.3700000000000007E-2</v>
      </c>
      <c r="H10" s="176"/>
    </row>
    <row r="11" spans="1:8" x14ac:dyDescent="0.2">
      <c r="B11" s="178"/>
      <c r="C11" s="453"/>
      <c r="D11" s="454"/>
      <c r="E11" s="454"/>
      <c r="H11" s="409"/>
    </row>
    <row r="12" spans="1:8" x14ac:dyDescent="0.2">
      <c r="C12" s="455"/>
      <c r="D12" s="455"/>
      <c r="E12" s="455"/>
      <c r="H12" s="174"/>
    </row>
    <row r="13" spans="1:8" x14ac:dyDescent="0.2">
      <c r="C13" s="455"/>
      <c r="D13" s="455"/>
      <c r="E13" s="455"/>
      <c r="H13" s="174"/>
    </row>
    <row r="14" spans="1:8" x14ac:dyDescent="0.2">
      <c r="C14" s="455"/>
      <c r="D14" s="455"/>
      <c r="E14" s="455"/>
      <c r="H14" s="174"/>
    </row>
    <row r="15" spans="1:8" x14ac:dyDescent="0.2">
      <c r="A15" s="171" t="s">
        <v>130</v>
      </c>
      <c r="B15" s="171" t="s">
        <v>122</v>
      </c>
      <c r="C15" s="456">
        <f>+C7</f>
        <v>146682587.0829891</v>
      </c>
      <c r="D15" s="456">
        <f>+D7</f>
        <v>0</v>
      </c>
      <c r="E15" s="456">
        <f>+E7</f>
        <v>146682587.0829891</v>
      </c>
    </row>
    <row r="16" spans="1:8" x14ac:dyDescent="0.2">
      <c r="A16" s="171" t="s">
        <v>179</v>
      </c>
      <c r="B16" s="171" t="s">
        <v>123</v>
      </c>
      <c r="C16" s="174">
        <f>+model!R17</f>
        <v>61439572.016023792</v>
      </c>
      <c r="D16" s="174"/>
      <c r="E16" s="174">
        <f>C16+D16</f>
        <v>61439572.016023792</v>
      </c>
    </row>
    <row r="17" spans="1:10" x14ac:dyDescent="0.2">
      <c r="A17" s="171" t="s">
        <v>180</v>
      </c>
      <c r="B17" s="171" t="s">
        <v>124</v>
      </c>
      <c r="C17" s="456">
        <f>+C15-C16</f>
        <v>85243015.066965312</v>
      </c>
      <c r="D17" s="456">
        <f>+D15-D16</f>
        <v>0</v>
      </c>
      <c r="E17" s="456">
        <f>+E15-E16</f>
        <v>85243015.066965312</v>
      </c>
      <c r="H17"/>
      <c r="I17"/>
      <c r="J17"/>
    </row>
    <row r="18" spans="1:10" x14ac:dyDescent="0.2">
      <c r="C18" s="455"/>
      <c r="D18" s="455"/>
      <c r="E18" s="455"/>
      <c r="H18"/>
      <c r="I18"/>
      <c r="J18"/>
    </row>
    <row r="19" spans="1:10" x14ac:dyDescent="0.2">
      <c r="A19" s="171" t="s">
        <v>131</v>
      </c>
      <c r="B19" s="171" t="s">
        <v>125</v>
      </c>
      <c r="C19" s="456">
        <f>+C8</f>
        <v>2301107566.1432133</v>
      </c>
      <c r="D19" s="456">
        <f>+D8</f>
        <v>0</v>
      </c>
      <c r="E19" s="456">
        <f>+E8</f>
        <v>2301107566.1432133</v>
      </c>
      <c r="H19"/>
      <c r="I19"/>
      <c r="J19"/>
    </row>
    <row r="20" spans="1:10" x14ac:dyDescent="0.2">
      <c r="A20" s="171" t="s">
        <v>132</v>
      </c>
      <c r="B20" s="171" t="s">
        <v>126</v>
      </c>
      <c r="C20" s="457">
        <f>'1.02 COC'!D19</f>
        <v>0.48820000000000002</v>
      </c>
      <c r="D20" s="457"/>
      <c r="E20" s="457">
        <f>C20+D20</f>
        <v>0.48820000000000002</v>
      </c>
      <c r="H20"/>
      <c r="I20"/>
      <c r="J20"/>
    </row>
    <row r="21" spans="1:10" x14ac:dyDescent="0.2">
      <c r="A21" s="171" t="s">
        <v>127</v>
      </c>
      <c r="B21" s="171" t="s">
        <v>128</v>
      </c>
      <c r="C21" s="174">
        <f>+C19*C20</f>
        <v>1123400713.7911167</v>
      </c>
      <c r="D21" s="174">
        <f>+D19*D20</f>
        <v>0</v>
      </c>
      <c r="E21" s="174">
        <f>+E19*E20</f>
        <v>1123400713.7911167</v>
      </c>
      <c r="H21"/>
      <c r="I21"/>
      <c r="J21"/>
    </row>
    <row r="22" spans="1:10" x14ac:dyDescent="0.2">
      <c r="C22" s="174"/>
      <c r="D22" s="174"/>
      <c r="E22" s="174"/>
      <c r="H22"/>
      <c r="I22"/>
      <c r="J22"/>
    </row>
    <row r="23" spans="1:10" x14ac:dyDescent="0.2">
      <c r="A23" s="170" t="s">
        <v>133</v>
      </c>
      <c r="B23" s="171" t="s">
        <v>129</v>
      </c>
      <c r="C23" s="176">
        <f>+C17/C21</f>
        <v>7.5879438227609369E-2</v>
      </c>
      <c r="D23" s="176">
        <f>E23-C23</f>
        <v>2.0561772390625954E-5</v>
      </c>
      <c r="E23" s="176">
        <f>+ROUND(E17/E21,4)</f>
        <v>7.5899999999999995E-2</v>
      </c>
      <c r="H23"/>
      <c r="I23"/>
      <c r="J23"/>
    </row>
    <row r="24" spans="1:10" x14ac:dyDescent="0.2">
      <c r="C24" s="455"/>
      <c r="D24" s="455"/>
      <c r="E24" s="455"/>
      <c r="H24"/>
      <c r="I24"/>
      <c r="J24"/>
    </row>
  </sheetData>
  <phoneticPr fontId="9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workbookViewId="0">
      <selection activeCell="F21" sqref="F21"/>
    </sheetView>
  </sheetViews>
  <sheetFormatPr defaultColWidth="10.6640625" defaultRowHeight="12.75" x14ac:dyDescent="0.2"/>
  <cols>
    <col min="1" max="1" width="3.83203125" style="199" bestFit="1" customWidth="1"/>
    <col min="2" max="2" width="31.5" style="199" bestFit="1" customWidth="1"/>
    <col min="3" max="3" width="19.5" style="199" customWidth="1"/>
    <col min="4" max="4" width="12.6640625" style="199" customWidth="1"/>
    <col min="5" max="5" width="12" style="199" customWidth="1"/>
    <col min="6" max="6" width="14.1640625" style="199" customWidth="1"/>
    <col min="7" max="7" width="4" style="199" bestFit="1" customWidth="1"/>
    <col min="8" max="8" width="14.33203125" style="199" bestFit="1" customWidth="1"/>
    <col min="9" max="9" width="12.33203125" style="199" bestFit="1" customWidth="1"/>
    <col min="10" max="10" width="18.6640625" style="199" bestFit="1" customWidth="1"/>
    <col min="11" max="13" width="10.83203125" style="199" bestFit="1" customWidth="1"/>
    <col min="14" max="16384" width="10.6640625" style="199"/>
  </cols>
  <sheetData>
    <row r="1" spans="1:8" ht="13.5" thickBot="1" x14ac:dyDescent="0.25">
      <c r="F1" s="465">
        <v>1.02</v>
      </c>
    </row>
    <row r="2" spans="1:8" x14ac:dyDescent="0.2">
      <c r="B2" s="280"/>
    </row>
    <row r="3" spans="1:8" ht="12.75" customHeight="1" x14ac:dyDescent="0.2">
      <c r="A3" s="200" t="s">
        <v>187</v>
      </c>
      <c r="B3" s="200"/>
      <c r="C3" s="200"/>
      <c r="D3" s="200"/>
      <c r="E3" s="200"/>
      <c r="F3" s="201"/>
      <c r="G3" s="201"/>
    </row>
    <row r="4" spans="1:8" ht="12.75" customHeight="1" x14ac:dyDescent="0.2">
      <c r="A4" s="200"/>
      <c r="B4" s="200"/>
      <c r="C4" s="200"/>
      <c r="D4" s="200"/>
      <c r="E4" s="200"/>
      <c r="F4" s="201"/>
      <c r="G4" s="201"/>
    </row>
    <row r="5" spans="1:8" ht="12.75" customHeight="1" x14ac:dyDescent="0.2">
      <c r="A5" s="497" t="s">
        <v>188</v>
      </c>
      <c r="B5" s="497"/>
      <c r="C5" s="497"/>
      <c r="D5" s="497"/>
      <c r="E5" s="497"/>
      <c r="F5" s="395"/>
      <c r="G5" s="395"/>
    </row>
    <row r="6" spans="1:8" ht="12.75" customHeight="1" x14ac:dyDescent="0.2">
      <c r="A6" s="497" t="s">
        <v>189</v>
      </c>
      <c r="B6" s="497"/>
      <c r="C6" s="497"/>
      <c r="D6" s="497"/>
      <c r="E6" s="497"/>
      <c r="F6" s="395"/>
      <c r="G6" s="395"/>
      <c r="H6" s="469"/>
    </row>
    <row r="7" spans="1:8" s="396" customFormat="1" ht="12.75" customHeight="1" x14ac:dyDescent="0.2">
      <c r="A7" s="497" t="str">
        <f>TESTYEAR</f>
        <v>FOR THE TWELVE MONTHS ENDED DECEMBER 31, 2020</v>
      </c>
      <c r="B7" s="497"/>
      <c r="C7" s="497"/>
      <c r="D7" s="497"/>
      <c r="E7" s="497"/>
      <c r="F7" s="395"/>
      <c r="G7" s="395"/>
    </row>
    <row r="8" spans="1:8" x14ac:dyDescent="0.2">
      <c r="A8" s="281"/>
      <c r="B8" s="281"/>
      <c r="C8" s="281"/>
      <c r="D8" s="281"/>
      <c r="E8" s="281"/>
      <c r="F8" s="281"/>
      <c r="G8" s="396"/>
    </row>
    <row r="9" spans="1:8" x14ac:dyDescent="0.2">
      <c r="A9" s="281"/>
      <c r="B9" s="281"/>
      <c r="C9" s="281"/>
      <c r="D9" s="281"/>
      <c r="E9" s="281"/>
      <c r="F9" s="281"/>
      <c r="G9" s="396"/>
    </row>
    <row r="10" spans="1:8" x14ac:dyDescent="0.2">
      <c r="A10" s="281"/>
      <c r="B10" s="281"/>
      <c r="C10" s="281"/>
      <c r="D10" s="281"/>
      <c r="E10" s="281"/>
      <c r="F10" s="281"/>
      <c r="G10" s="396"/>
    </row>
    <row r="11" spans="1:8" x14ac:dyDescent="0.2">
      <c r="A11" s="455">
        <v>1</v>
      </c>
      <c r="B11" s="498" t="s">
        <v>190</v>
      </c>
      <c r="C11" s="498" t="s">
        <v>191</v>
      </c>
      <c r="D11" s="498" t="s">
        <v>192</v>
      </c>
      <c r="E11" s="498" t="s">
        <v>193</v>
      </c>
      <c r="F11" s="498" t="s">
        <v>194</v>
      </c>
      <c r="G11" s="396"/>
    </row>
    <row r="12" spans="1:8" x14ac:dyDescent="0.2">
      <c r="A12" s="455">
        <v>2</v>
      </c>
      <c r="B12" s="455"/>
      <c r="C12" s="455"/>
      <c r="D12" s="455"/>
      <c r="E12" s="455"/>
      <c r="F12" s="455"/>
      <c r="G12" s="455"/>
      <c r="H12" s="202"/>
    </row>
    <row r="13" spans="1:8" x14ac:dyDescent="0.2">
      <c r="A13" s="455">
        <v>3</v>
      </c>
      <c r="B13" s="455" t="s">
        <v>20</v>
      </c>
      <c r="C13" s="455"/>
      <c r="D13" s="455"/>
      <c r="E13" s="455"/>
      <c r="F13" s="498" t="s">
        <v>195</v>
      </c>
      <c r="G13" s="455"/>
      <c r="H13" s="202"/>
    </row>
    <row r="14" spans="1:8" x14ac:dyDescent="0.2">
      <c r="A14" s="455">
        <v>4</v>
      </c>
      <c r="B14" s="455"/>
      <c r="C14" s="455"/>
      <c r="D14" s="455"/>
      <c r="E14" s="455"/>
      <c r="F14" s="498" t="s">
        <v>196</v>
      </c>
      <c r="G14" s="455"/>
      <c r="H14" s="202"/>
    </row>
    <row r="15" spans="1:8" x14ac:dyDescent="0.2">
      <c r="A15" s="455">
        <v>5</v>
      </c>
      <c r="B15" s="499" t="s">
        <v>197</v>
      </c>
      <c r="C15" s="499" t="s">
        <v>198</v>
      </c>
      <c r="D15" s="499" t="s">
        <v>199</v>
      </c>
      <c r="E15" s="499" t="s">
        <v>200</v>
      </c>
      <c r="F15" s="499" t="s">
        <v>201</v>
      </c>
      <c r="G15" s="455"/>
      <c r="H15" s="202"/>
    </row>
    <row r="16" spans="1:8" x14ac:dyDescent="0.2">
      <c r="A16" s="455">
        <v>6</v>
      </c>
      <c r="B16" s="455"/>
      <c r="C16" s="455"/>
      <c r="D16" s="455"/>
      <c r="E16" s="455"/>
      <c r="F16" s="455"/>
      <c r="G16" s="455"/>
      <c r="H16" s="202"/>
    </row>
    <row r="17" spans="1:14" x14ac:dyDescent="0.2">
      <c r="A17" s="455">
        <v>7</v>
      </c>
      <c r="B17" s="176" t="s">
        <v>287</v>
      </c>
      <c r="C17" s="500">
        <f>'[10]New Format'!$C$26</f>
        <v>4504512170</v>
      </c>
      <c r="D17" s="501">
        <f>'[10]New Format'!$D$26</f>
        <v>0.51180000000000003</v>
      </c>
      <c r="E17" s="502">
        <f>F17/D17</f>
        <v>5.2168815943728013E-2</v>
      </c>
      <c r="F17" s="503">
        <f>'[10]New Format'!$F$26</f>
        <v>2.6699999999999998E-2</v>
      </c>
      <c r="G17" s="458"/>
      <c r="H17" s="202"/>
      <c r="J17"/>
      <c r="K17"/>
      <c r="L17"/>
      <c r="M17"/>
      <c r="N17"/>
    </row>
    <row r="18" spans="1:14" x14ac:dyDescent="0.2">
      <c r="A18" s="455">
        <v>8</v>
      </c>
      <c r="B18" s="455"/>
      <c r="C18" s="455"/>
      <c r="D18" s="455"/>
      <c r="E18" s="455"/>
      <c r="F18" s="176"/>
      <c r="G18" s="455"/>
      <c r="H18" s="202"/>
      <c r="J18"/>
      <c r="K18"/>
      <c r="L18"/>
      <c r="M18"/>
      <c r="N18"/>
    </row>
    <row r="19" spans="1:14" x14ac:dyDescent="0.2">
      <c r="A19" s="455">
        <v>9</v>
      </c>
      <c r="B19" s="281" t="s">
        <v>202</v>
      </c>
      <c r="C19" s="500">
        <f>'[10]New Format'!$C$28</f>
        <v>4297150270</v>
      </c>
      <c r="D19" s="504">
        <f>ROUND(C19/$C$21,4)</f>
        <v>0.48820000000000002</v>
      </c>
      <c r="E19" s="502">
        <f>'[10]New Format'!$E$28</f>
        <v>9.4700000000000006E-2</v>
      </c>
      <c r="F19" s="505">
        <f>ROUND(D19*E19,4)</f>
        <v>4.6199999999999998E-2</v>
      </c>
      <c r="G19" s="455"/>
      <c r="H19" s="202"/>
      <c r="J19"/>
      <c r="K19"/>
      <c r="L19"/>
      <c r="M19"/>
      <c r="N19"/>
    </row>
    <row r="20" spans="1:14" x14ac:dyDescent="0.2">
      <c r="A20" s="455">
        <v>10</v>
      </c>
      <c r="B20" s="455"/>
      <c r="C20" s="455"/>
      <c r="D20" s="455"/>
      <c r="E20" s="455"/>
      <c r="F20" s="506"/>
      <c r="G20" s="455"/>
      <c r="H20" s="202"/>
      <c r="J20"/>
      <c r="K20"/>
      <c r="L20"/>
      <c r="M20"/>
      <c r="N20"/>
    </row>
    <row r="21" spans="1:14" x14ac:dyDescent="0.2">
      <c r="A21" s="455">
        <v>11</v>
      </c>
      <c r="B21" s="281" t="s">
        <v>203</v>
      </c>
      <c r="C21" s="507">
        <f>SUM(C17:C20)</f>
        <v>8801662440</v>
      </c>
      <c r="D21" s="508">
        <f>SUM(D17:D20)</f>
        <v>1</v>
      </c>
      <c r="E21" s="509"/>
      <c r="F21" s="510">
        <f>F17+F19</f>
        <v>7.2899999999999993E-2</v>
      </c>
      <c r="G21" s="455"/>
      <c r="H21" s="202"/>
      <c r="J21"/>
      <c r="K21"/>
      <c r="L21"/>
      <c r="M21"/>
      <c r="N21"/>
    </row>
    <row r="22" spans="1:14" x14ac:dyDescent="0.2">
      <c r="A22" s="455">
        <v>12</v>
      </c>
      <c r="B22" s="455"/>
      <c r="C22" s="455"/>
      <c r="D22" s="504"/>
      <c r="E22" s="455"/>
      <c r="F22" s="511"/>
      <c r="G22" s="455"/>
      <c r="H22" s="202"/>
      <c r="J22"/>
      <c r="K22"/>
      <c r="L22"/>
      <c r="M22"/>
      <c r="N22"/>
    </row>
    <row r="23" spans="1:14" x14ac:dyDescent="0.2">
      <c r="A23" s="455">
        <v>13</v>
      </c>
      <c r="B23" s="455"/>
      <c r="C23" s="455"/>
      <c r="D23" s="455"/>
      <c r="E23" s="455"/>
      <c r="F23" s="459"/>
      <c r="G23" s="455"/>
      <c r="H23" s="202"/>
      <c r="J23"/>
      <c r="K23"/>
      <c r="L23"/>
      <c r="M23"/>
      <c r="N23"/>
    </row>
    <row r="24" spans="1:14" x14ac:dyDescent="0.2">
      <c r="A24" s="455">
        <v>14</v>
      </c>
      <c r="B24" s="281" t="s">
        <v>204</v>
      </c>
      <c r="C24" s="281"/>
      <c r="D24" s="455"/>
      <c r="E24" s="455"/>
      <c r="F24" s="459"/>
      <c r="G24" s="455"/>
      <c r="H24" s="202"/>
      <c r="J24"/>
      <c r="K24"/>
      <c r="L24"/>
      <c r="M24"/>
      <c r="N24"/>
    </row>
    <row r="25" spans="1:14" x14ac:dyDescent="0.2">
      <c r="A25" s="396"/>
      <c r="B25" s="455"/>
      <c r="C25" s="455"/>
      <c r="D25" s="455"/>
      <c r="E25" s="455"/>
      <c r="F25" s="459"/>
      <c r="G25" s="455"/>
      <c r="H25" s="202"/>
      <c r="J25"/>
      <c r="K25"/>
      <c r="L25"/>
      <c r="M25"/>
      <c r="N25"/>
    </row>
    <row r="26" spans="1:14" x14ac:dyDescent="0.2">
      <c r="A26" s="396"/>
      <c r="B26" s="455"/>
      <c r="C26" s="455"/>
      <c r="D26" s="455"/>
      <c r="E26" s="455"/>
      <c r="F26" s="459"/>
      <c r="G26" s="455"/>
      <c r="H26" s="202"/>
      <c r="J26"/>
      <c r="K26"/>
      <c r="L26"/>
      <c r="M26"/>
      <c r="N26"/>
    </row>
    <row r="27" spans="1:14" x14ac:dyDescent="0.2">
      <c r="A27" s="396"/>
      <c r="B27" s="455"/>
      <c r="C27" s="460"/>
      <c r="D27" s="455"/>
      <c r="E27" s="455"/>
      <c r="F27" s="455"/>
      <c r="G27" s="455"/>
      <c r="H27" s="202"/>
      <c r="J27"/>
      <c r="K27"/>
      <c r="L27"/>
      <c r="M27"/>
      <c r="N27"/>
    </row>
    <row r="28" spans="1:14" x14ac:dyDescent="0.2">
      <c r="A28" s="396"/>
      <c r="B28" s="455"/>
      <c r="C28" s="460"/>
      <c r="D28" s="455"/>
      <c r="E28" s="455"/>
      <c r="F28" s="455"/>
      <c r="G28" s="455"/>
      <c r="H28" s="202"/>
    </row>
    <row r="29" spans="1:14" x14ac:dyDescent="0.2">
      <c r="A29" s="396"/>
      <c r="B29" s="455"/>
      <c r="C29" s="460"/>
      <c r="D29" s="455"/>
      <c r="E29" s="455"/>
      <c r="F29" s="455"/>
      <c r="G29" s="455"/>
      <c r="H29" s="202"/>
    </row>
    <row r="30" spans="1:14" x14ac:dyDescent="0.2">
      <c r="A30" s="396"/>
      <c r="B30" s="455"/>
      <c r="C30" s="460"/>
      <c r="D30" s="455"/>
      <c r="E30" s="455"/>
      <c r="F30" s="455"/>
      <c r="G30" s="455"/>
    </row>
    <row r="31" spans="1:14" x14ac:dyDescent="0.2">
      <c r="A31" s="396"/>
      <c r="B31" s="455"/>
      <c r="C31" s="460"/>
      <c r="D31" s="455"/>
      <c r="E31" s="455"/>
      <c r="F31" s="455"/>
      <c r="G31" s="455"/>
    </row>
    <row r="32" spans="1:14" x14ac:dyDescent="0.2">
      <c r="A32" s="396"/>
      <c r="B32" s="455"/>
      <c r="C32" s="460"/>
      <c r="D32" s="455"/>
      <c r="E32" s="455"/>
      <c r="F32" s="455"/>
      <c r="G32" s="455"/>
    </row>
    <row r="33" spans="1:7" x14ac:dyDescent="0.2">
      <c r="A33" s="396"/>
      <c r="B33" s="455"/>
      <c r="C33" s="460"/>
      <c r="D33" s="455"/>
      <c r="E33" s="455"/>
      <c r="F33" s="455"/>
      <c r="G33" s="455"/>
    </row>
    <row r="34" spans="1:7" x14ac:dyDescent="0.2">
      <c r="A34" s="396"/>
      <c r="B34" s="455"/>
      <c r="C34" s="460"/>
      <c r="D34" s="455"/>
      <c r="E34" s="455"/>
      <c r="F34" s="455"/>
      <c r="G34" s="455"/>
    </row>
    <row r="35" spans="1:7" x14ac:dyDescent="0.2">
      <c r="B35" s="202"/>
      <c r="C35" s="277"/>
      <c r="D35" s="202"/>
      <c r="E35" s="202"/>
      <c r="F35" s="202"/>
      <c r="G35" s="202"/>
    </row>
    <row r="36" spans="1:7" x14ac:dyDescent="0.2">
      <c r="B36" s="202"/>
      <c r="C36" s="277"/>
      <c r="D36" s="202"/>
      <c r="E36" s="202"/>
      <c r="F36" s="202"/>
      <c r="G36" s="202"/>
    </row>
    <row r="37" spans="1:7" x14ac:dyDescent="0.2">
      <c r="B37" s="202"/>
      <c r="C37" s="277"/>
      <c r="D37" s="202"/>
      <c r="E37" s="202"/>
      <c r="F37" s="202"/>
      <c r="G37" s="202"/>
    </row>
    <row r="38" spans="1:7" x14ac:dyDescent="0.2">
      <c r="B38" s="202"/>
      <c r="C38" s="277"/>
      <c r="D38" s="202"/>
      <c r="E38" s="202"/>
      <c r="F38" s="202"/>
      <c r="G38" s="202"/>
    </row>
    <row r="39" spans="1:7" x14ac:dyDescent="0.2">
      <c r="B39" s="202"/>
      <c r="C39" s="277"/>
      <c r="D39" s="202"/>
      <c r="E39" s="202"/>
      <c r="F39" s="202"/>
      <c r="G39" s="202"/>
    </row>
    <row r="40" spans="1:7" x14ac:dyDescent="0.2">
      <c r="B40" s="202"/>
      <c r="C40" s="277"/>
      <c r="D40" s="202"/>
      <c r="E40" s="202"/>
      <c r="F40" s="202"/>
      <c r="G40" s="202"/>
    </row>
    <row r="41" spans="1:7" x14ac:dyDescent="0.2">
      <c r="B41" s="202"/>
      <c r="C41" s="277"/>
      <c r="D41" s="202"/>
      <c r="E41" s="202"/>
      <c r="F41" s="202"/>
      <c r="G41" s="202"/>
    </row>
    <row r="42" spans="1:7" x14ac:dyDescent="0.2">
      <c r="B42" s="202"/>
      <c r="C42" s="277"/>
      <c r="D42" s="202"/>
      <c r="E42" s="202"/>
      <c r="F42" s="202"/>
      <c r="G42" s="202"/>
    </row>
    <row r="43" spans="1:7" x14ac:dyDescent="0.2">
      <c r="B43" s="202"/>
      <c r="C43" s="277"/>
      <c r="D43" s="202"/>
      <c r="E43" s="202"/>
      <c r="F43" s="202"/>
      <c r="G43" s="202"/>
    </row>
    <row r="44" spans="1:7" x14ac:dyDescent="0.2">
      <c r="B44" s="202"/>
      <c r="C44" s="277"/>
      <c r="D44" s="202"/>
      <c r="E44" s="202"/>
      <c r="F44" s="202"/>
      <c r="G44" s="202"/>
    </row>
    <row r="45" spans="1:7" x14ac:dyDescent="0.2">
      <c r="B45" s="202"/>
      <c r="C45" s="277"/>
      <c r="D45" s="202"/>
      <c r="E45" s="202"/>
      <c r="F45" s="202"/>
      <c r="G45" s="202"/>
    </row>
    <row r="46" spans="1:7" x14ac:dyDescent="0.2">
      <c r="B46" s="202"/>
      <c r="C46" s="277"/>
      <c r="D46" s="202"/>
      <c r="E46" s="202"/>
      <c r="F46" s="202"/>
      <c r="G46" s="202"/>
    </row>
    <row r="47" spans="1:7" x14ac:dyDescent="0.2">
      <c r="B47" s="202"/>
      <c r="C47" s="277"/>
      <c r="D47" s="202"/>
      <c r="E47" s="202"/>
      <c r="F47" s="202"/>
      <c r="G47" s="202"/>
    </row>
    <row r="48" spans="1:7" x14ac:dyDescent="0.2">
      <c r="B48" s="202"/>
      <c r="C48" s="277"/>
      <c r="D48" s="202"/>
      <c r="E48" s="202"/>
      <c r="F48" s="202"/>
      <c r="G48" s="202"/>
    </row>
    <row r="49" spans="2:7" x14ac:dyDescent="0.2">
      <c r="B49" s="202"/>
      <c r="C49" s="277"/>
      <c r="D49" s="202"/>
      <c r="E49" s="202"/>
      <c r="F49" s="202"/>
      <c r="G49" s="202"/>
    </row>
    <row r="50" spans="2:7" x14ac:dyDescent="0.2">
      <c r="B50" s="202"/>
      <c r="C50" s="277"/>
      <c r="D50" s="202"/>
      <c r="E50" s="202"/>
      <c r="F50" s="202"/>
      <c r="G50" s="202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N353"/>
  <sheetViews>
    <sheetView zoomScale="85" zoomScaleNormal="85" workbookViewId="0">
      <pane xSplit="1" ySplit="10" topLeftCell="BN11" activePane="bottomRight" state="frozen"/>
      <selection activeCell="K29" sqref="K29"/>
      <selection pane="topRight" activeCell="K29" sqref="K29"/>
      <selection pane="bottomLeft" activeCell="K29" sqref="K29"/>
      <selection pane="bottomRight" activeCell="B15" sqref="B15:B26"/>
    </sheetView>
  </sheetViews>
  <sheetFormatPr defaultColWidth="21.1640625" defaultRowHeight="12.75" customHeight="1" x14ac:dyDescent="0.2"/>
  <cols>
    <col min="1" max="1" width="7.1640625" style="193" customWidth="1"/>
    <col min="2" max="2" width="47.6640625" style="193" customWidth="1"/>
    <col min="3" max="6" width="18" style="193" customWidth="1"/>
    <col min="7" max="7" width="6.83203125" style="2" customWidth="1"/>
    <col min="8" max="8" width="60.1640625" style="2" customWidth="1"/>
    <col min="9" max="9" width="23.6640625" style="2" customWidth="1"/>
    <col min="10" max="10" width="21" style="2" bestFit="1" customWidth="1"/>
    <col min="11" max="11" width="19" style="2" bestFit="1" customWidth="1"/>
    <col min="12" max="12" width="6.83203125" style="2" customWidth="1"/>
    <col min="13" max="13" width="83.83203125" style="2" customWidth="1"/>
    <col min="14" max="14" width="20" style="2" customWidth="1"/>
    <col min="15" max="15" width="6.83203125" style="2" customWidth="1"/>
    <col min="16" max="16" width="55" style="2" customWidth="1"/>
    <col min="17" max="17" width="21.5" style="2" customWidth="1"/>
    <col min="18" max="18" width="22.1640625" style="2" customWidth="1"/>
    <col min="19" max="19" width="7.1640625" style="2" customWidth="1"/>
    <col min="20" max="20" width="73.33203125" style="2" bestFit="1" customWidth="1"/>
    <col min="21" max="21" width="16.1640625" style="2" customWidth="1"/>
    <col min="22" max="22" width="18.1640625" style="2" customWidth="1"/>
    <col min="23" max="23" width="6.5" style="2" bestFit="1" customWidth="1"/>
    <col min="24" max="24" width="73.1640625" style="2" bestFit="1" customWidth="1"/>
    <col min="25" max="25" width="5.5" style="2" bestFit="1" customWidth="1"/>
    <col min="26" max="27" width="18.1640625" style="2" customWidth="1"/>
    <col min="28" max="28" width="6.83203125" style="2" customWidth="1"/>
    <col min="29" max="29" width="39" style="2" customWidth="1"/>
    <col min="30" max="33" width="17" style="2" customWidth="1"/>
    <col min="34" max="34" width="16.6640625" style="2" customWidth="1"/>
    <col min="35" max="35" width="5.83203125" style="147" bestFit="1" customWidth="1"/>
    <col min="36" max="36" width="55.1640625" style="147" bestFit="1" customWidth="1"/>
    <col min="37" max="39" width="17" style="147" customWidth="1"/>
    <col min="40" max="40" width="6.6640625" style="2" customWidth="1"/>
    <col min="41" max="41" width="40.83203125" style="2" bestFit="1" customWidth="1"/>
    <col min="42" max="42" width="14" style="2" customWidth="1"/>
    <col min="43" max="43" width="22.83203125" style="43" customWidth="1"/>
    <col min="44" max="44" width="5.83203125" style="147" bestFit="1" customWidth="1"/>
    <col min="45" max="45" width="55.1640625" style="147" bestFit="1" customWidth="1"/>
    <col min="46" max="48" width="17" style="147" customWidth="1"/>
    <col min="49" max="49" width="5.83203125" style="159" customWidth="1"/>
    <col min="50" max="50" width="36.1640625" style="159" bestFit="1" customWidth="1"/>
    <col min="51" max="51" width="16.1640625" style="159" customWidth="1"/>
    <col min="52" max="52" width="18.83203125" style="159" customWidth="1"/>
    <col min="53" max="53" width="6.83203125" style="2" customWidth="1"/>
    <col min="54" max="54" width="52" style="2" customWidth="1"/>
    <col min="55" max="55" width="18.1640625" style="2" customWidth="1"/>
    <col min="56" max="56" width="17.1640625" style="2" customWidth="1"/>
    <col min="57" max="57" width="18.5" style="2" customWidth="1"/>
    <col min="58" max="58" width="6.5" style="147" bestFit="1" customWidth="1"/>
    <col min="59" max="59" width="72.33203125" style="147" customWidth="1"/>
    <col min="60" max="62" width="17" style="147" customWidth="1"/>
    <col min="63" max="63" width="6.5" style="147" bestFit="1" customWidth="1"/>
    <col min="64" max="64" width="72.33203125" style="147" customWidth="1"/>
    <col min="65" max="67" width="17" style="147" customWidth="1"/>
    <col min="68" max="68" width="6.5" style="147" bestFit="1" customWidth="1"/>
    <col min="69" max="69" width="72.33203125" style="147" customWidth="1"/>
    <col min="70" max="72" width="17" style="147" customWidth="1"/>
    <col min="73" max="73" width="6.83203125" style="2" customWidth="1"/>
    <col min="74" max="74" width="42.6640625" style="2" customWidth="1"/>
    <col min="75" max="75" width="17.6640625" style="2" customWidth="1"/>
    <col min="76" max="76" width="16.83203125" style="2" customWidth="1"/>
    <col min="77" max="77" width="19.1640625" style="2" customWidth="1"/>
    <col min="78" max="78" width="4.1640625" style="2" customWidth="1"/>
    <col min="79" max="79" width="6.83203125" style="2" customWidth="1"/>
    <col min="80" max="80" width="35.6640625" style="2" customWidth="1"/>
    <col min="81" max="81" width="23.5" style="2" bestFit="1" customWidth="1"/>
    <col min="82" max="85" width="23.83203125" style="2" customWidth="1"/>
    <col min="86" max="86" width="23.83203125" style="2" customWidth="1" collapsed="1"/>
    <col min="87" max="88" width="23.83203125" style="2" customWidth="1"/>
    <col min="89" max="89" width="5.83203125" style="2" bestFit="1" customWidth="1"/>
    <col min="90" max="90" width="60.1640625" style="2" bestFit="1" customWidth="1"/>
    <col min="91" max="93" width="17.5" style="2" customWidth="1"/>
    <col min="94" max="94" width="23.6640625" style="2" customWidth="1"/>
    <col min="95" max="96" width="18.5" style="2" bestFit="1" customWidth="1"/>
    <col min="97" max="97" width="18.5" style="479" customWidth="1"/>
    <col min="98" max="98" width="29" style="479" bestFit="1" customWidth="1"/>
    <col min="99" max="99" width="18.5" style="479" bestFit="1" customWidth="1"/>
    <col min="100" max="100" width="20.5" style="2" bestFit="1" customWidth="1"/>
    <col min="101" max="101" width="6.83203125" style="2" customWidth="1"/>
    <col min="102" max="102" width="60.1640625" style="2" bestFit="1" customWidth="1"/>
    <col min="103" max="103" width="19.83203125" style="2" bestFit="1" customWidth="1"/>
    <col min="104" max="104" width="22" style="2" bestFit="1" customWidth="1"/>
    <col min="105" max="105" width="20.5" style="2" bestFit="1" customWidth="1"/>
    <col min="106" max="106" width="1.5" style="2" customWidth="1"/>
    <col min="107" max="108" width="20.5" bestFit="1" customWidth="1"/>
    <col min="116" max="116" width="62.33203125" bestFit="1" customWidth="1"/>
    <col min="119" max="16384" width="21.1640625" style="2"/>
  </cols>
  <sheetData>
    <row r="1" spans="1:118" customFormat="1" ht="15" customHeight="1" thickBot="1" x14ac:dyDescent="0.2"/>
    <row r="2" spans="1:118" s="103" customFormat="1" ht="15" customHeight="1" thickTop="1" thickBot="1" x14ac:dyDescent="0.25">
      <c r="A2" s="399"/>
      <c r="B2" s="400"/>
      <c r="C2" s="399"/>
      <c r="D2" s="400"/>
      <c r="E2" s="400"/>
      <c r="F2" s="397" t="str">
        <f>CD11</f>
        <v>Adj 3.01</v>
      </c>
      <c r="G2" s="399"/>
      <c r="H2" s="399"/>
      <c r="I2" s="399"/>
      <c r="J2" s="400"/>
      <c r="K2" s="397" t="str">
        <f>CE11</f>
        <v>Adj 3.02</v>
      </c>
      <c r="N2" s="397" t="str">
        <f>CF11</f>
        <v>Adj 3.03</v>
      </c>
      <c r="P2" s="401" t="s">
        <v>20</v>
      </c>
      <c r="R2" s="397" t="str">
        <f>CG11</f>
        <v xml:space="preserve"> Adj 3.04</v>
      </c>
      <c r="V2" s="397" t="str">
        <f>CH11</f>
        <v>Adj 3.05</v>
      </c>
      <c r="W2" s="47"/>
      <c r="X2" s="47"/>
      <c r="Y2" s="47"/>
      <c r="Z2" s="47"/>
      <c r="AA2" s="397" t="str">
        <f>CI11</f>
        <v>Adj 3.06</v>
      </c>
      <c r="AC2" s="402"/>
      <c r="AD2" s="402"/>
      <c r="AE2" s="402"/>
      <c r="AF2" s="402"/>
      <c r="AG2" s="402"/>
      <c r="AH2" s="397" t="str">
        <f>CJ11</f>
        <v>Adj 3.07</v>
      </c>
      <c r="AI2" s="331"/>
      <c r="AJ2" s="331"/>
      <c r="AK2" s="331"/>
      <c r="AL2" s="331"/>
      <c r="AM2" s="397" t="str">
        <f>CM11</f>
        <v>Adj 3.08</v>
      </c>
      <c r="AQ2" s="397" t="str">
        <f>CN11</f>
        <v>Adj 3.09</v>
      </c>
      <c r="AR2" s="331"/>
      <c r="AS2" s="331"/>
      <c r="AT2" s="331"/>
      <c r="AU2" s="331"/>
      <c r="AV2" s="397" t="str">
        <f>CO11</f>
        <v>Adj 3.10</v>
      </c>
      <c r="AW2" s="403"/>
      <c r="AX2" s="403"/>
      <c r="AY2" s="403"/>
      <c r="AZ2" s="397" t="str">
        <f>CP11</f>
        <v>Adj 3.11</v>
      </c>
      <c r="BC2" s="404"/>
      <c r="BE2" s="397" t="str">
        <f>CQ11</f>
        <v>Adj 3.12</v>
      </c>
      <c r="BF2" s="47"/>
      <c r="BG2" s="47"/>
      <c r="BH2" s="47"/>
      <c r="BI2" s="47"/>
      <c r="BJ2" s="397" t="str">
        <f>CR11</f>
        <v>Adj 3.13</v>
      </c>
      <c r="BK2" s="47"/>
      <c r="BL2" s="47"/>
      <c r="BM2" s="47"/>
      <c r="BN2" s="47"/>
      <c r="BO2" s="397" t="str">
        <f>CS11</f>
        <v>Adj 3.19</v>
      </c>
      <c r="BP2" s="47"/>
      <c r="BQ2" s="47"/>
      <c r="BR2" s="47"/>
      <c r="BS2" s="47"/>
      <c r="BT2" s="397" t="str">
        <f>CT11</f>
        <v>Adj 3.21</v>
      </c>
      <c r="BY2" s="197" t="s">
        <v>242</v>
      </c>
      <c r="CC2" s="331"/>
      <c r="CJ2" s="405" t="s">
        <v>288</v>
      </c>
      <c r="CV2" s="405" t="s">
        <v>289</v>
      </c>
      <c r="DA2" s="406" t="s">
        <v>290</v>
      </c>
      <c r="DC2"/>
      <c r="DD2"/>
      <c r="DE2"/>
      <c r="DF2"/>
      <c r="DG2"/>
      <c r="DH2"/>
      <c r="DI2"/>
      <c r="DJ2"/>
      <c r="DK2"/>
      <c r="DL2"/>
      <c r="DM2"/>
      <c r="DN2"/>
    </row>
    <row r="3" spans="1:118" s="31" customFormat="1" ht="15" customHeight="1" x14ac:dyDescent="0.2">
      <c r="A3" s="179"/>
      <c r="B3" s="180"/>
      <c r="C3" s="181"/>
      <c r="D3" s="179"/>
      <c r="E3" s="193"/>
      <c r="F3" s="203"/>
      <c r="G3" s="179"/>
      <c r="H3" s="180"/>
      <c r="I3" s="181"/>
      <c r="J3" s="179"/>
      <c r="K3" s="193"/>
      <c r="AB3" s="84"/>
      <c r="AI3" s="207"/>
      <c r="AJ3" s="207"/>
      <c r="AK3" s="207"/>
      <c r="AL3" s="207"/>
      <c r="AN3" s="204"/>
      <c r="AO3" s="47"/>
      <c r="AP3" s="47"/>
      <c r="AR3" s="207"/>
      <c r="AS3" s="207"/>
      <c r="AT3" s="207"/>
      <c r="AU3" s="207"/>
      <c r="AW3" s="205"/>
      <c r="AX3" s="205"/>
      <c r="AY3" s="205"/>
      <c r="BC3" s="206"/>
      <c r="BV3" s="4"/>
      <c r="BW3" s="4"/>
      <c r="BX3" s="4"/>
      <c r="BZ3" s="47"/>
      <c r="CA3" s="30" t="s">
        <v>21</v>
      </c>
      <c r="CB3" s="4"/>
      <c r="CC3" s="106"/>
      <c r="CD3" s="4"/>
      <c r="CE3" s="4"/>
      <c r="CF3" s="4"/>
      <c r="CG3" s="4"/>
      <c r="CH3" s="4"/>
      <c r="CI3" s="4"/>
      <c r="CJ3" s="4"/>
      <c r="CK3" s="30" t="s">
        <v>21</v>
      </c>
      <c r="CL3" s="4"/>
      <c r="CM3" s="4"/>
      <c r="CN3" s="4"/>
      <c r="CO3" s="4"/>
      <c r="CP3" s="4"/>
      <c r="CQ3" s="4"/>
      <c r="CR3" s="4"/>
      <c r="CS3" s="106"/>
      <c r="CT3" s="106"/>
      <c r="CU3" s="106"/>
      <c r="CV3" s="4"/>
      <c r="CW3" s="30" t="str">
        <f>PSPL</f>
        <v>PUGET SOUND ENERGY-GAS</v>
      </c>
      <c r="CX3" s="4"/>
      <c r="CY3" s="4"/>
      <c r="CZ3" s="4"/>
      <c r="DA3" s="85"/>
      <c r="DC3"/>
      <c r="DD3"/>
      <c r="DE3"/>
      <c r="DF3"/>
      <c r="DG3"/>
      <c r="DH3"/>
      <c r="DI3"/>
      <c r="DJ3"/>
      <c r="DK3"/>
      <c r="DL3"/>
      <c r="DM3"/>
      <c r="DN3"/>
    </row>
    <row r="4" spans="1:118" s="37" customFormat="1" ht="15" customHeight="1" x14ac:dyDescent="0.2">
      <c r="A4" s="209" t="s">
        <v>21</v>
      </c>
      <c r="B4" s="286"/>
      <c r="C4" s="286"/>
      <c r="D4" s="286"/>
      <c r="E4" s="286"/>
      <c r="F4" s="286"/>
      <c r="G4" s="182" t="s">
        <v>21</v>
      </c>
      <c r="H4" s="183"/>
      <c r="I4" s="183"/>
      <c r="J4" s="183"/>
      <c r="K4" s="194"/>
      <c r="L4" s="30" t="str">
        <f>PSPL</f>
        <v>PUGET SOUND ENERGY-GAS</v>
      </c>
      <c r="M4" s="4"/>
      <c r="N4" s="86"/>
      <c r="O4" s="30" t="str">
        <f>PSPL</f>
        <v>PUGET SOUND ENERGY-GAS</v>
      </c>
      <c r="P4" s="4"/>
      <c r="Q4" s="4"/>
      <c r="R4" s="4"/>
      <c r="S4" s="30" t="str">
        <f>PSPL</f>
        <v>PUGET SOUND ENERGY-GAS</v>
      </c>
      <c r="T4" s="4"/>
      <c r="U4" s="4"/>
      <c r="V4" s="208"/>
      <c r="W4" s="30" t="str">
        <f>PSPL</f>
        <v>PUGET SOUND ENERGY-GAS</v>
      </c>
      <c r="X4" s="208"/>
      <c r="Y4" s="208"/>
      <c r="Z4" s="208"/>
      <c r="AA4" s="208"/>
      <c r="AB4" s="4" t="str">
        <f>PSPL</f>
        <v>PUGET SOUND ENERGY-GAS</v>
      </c>
      <c r="AC4" s="4"/>
      <c r="AD4" s="4"/>
      <c r="AE4" s="4"/>
      <c r="AF4" s="4"/>
      <c r="AG4" s="4"/>
      <c r="AH4" s="4"/>
      <c r="AI4" s="30" t="str">
        <f>PSPL</f>
        <v>PUGET SOUND ENERGY-GAS</v>
      </c>
      <c r="AJ4" s="4"/>
      <c r="AK4" s="4"/>
      <c r="AL4" s="4"/>
      <c r="AM4" s="118"/>
      <c r="AN4" s="30" t="str">
        <f>PSPL</f>
        <v>PUGET SOUND ENERGY-GAS</v>
      </c>
      <c r="AO4" s="4"/>
      <c r="AP4" s="4"/>
      <c r="AQ4" s="4"/>
      <c r="AR4" s="30" t="str">
        <f>PSPL</f>
        <v>PUGET SOUND ENERGY-GAS</v>
      </c>
      <c r="AS4" s="4"/>
      <c r="AT4" s="4"/>
      <c r="AU4" s="4"/>
      <c r="AV4" s="118"/>
      <c r="AW4" s="209" t="str">
        <f>PSPL</f>
        <v>PUGET SOUND ENERGY-GAS</v>
      </c>
      <c r="AX4" s="209"/>
      <c r="AY4" s="209"/>
      <c r="AZ4" s="209"/>
      <c r="BA4" s="30" t="str">
        <f>PSPL</f>
        <v>PUGET SOUND ENERGY-GAS</v>
      </c>
      <c r="BB4" s="4"/>
      <c r="BC4" s="210"/>
      <c r="BD4" s="4"/>
      <c r="BE4" s="4"/>
      <c r="BF4" s="30" t="str">
        <f>PSPL</f>
        <v>PUGET SOUND ENERGY-GAS</v>
      </c>
      <c r="BG4" s="118"/>
      <c r="BH4" s="118"/>
      <c r="BI4" s="118"/>
      <c r="BJ4" s="118"/>
      <c r="BK4" s="30" t="str">
        <f>PSPL</f>
        <v>PUGET SOUND ENERGY-GAS</v>
      </c>
      <c r="BL4" s="118"/>
      <c r="BM4" s="118"/>
      <c r="BN4" s="118"/>
      <c r="BO4" s="118"/>
      <c r="BP4" s="30" t="str">
        <f>PSPL</f>
        <v>PUGET SOUND ENERGY-GAS</v>
      </c>
      <c r="BQ4" s="118"/>
      <c r="BR4" s="118"/>
      <c r="BS4" s="118"/>
      <c r="BT4" s="118"/>
      <c r="BU4" s="30" t="str">
        <f>PSPL</f>
        <v>PUGET SOUND ENERGY-GAS</v>
      </c>
      <c r="BV4" s="4"/>
      <c r="BW4" s="4"/>
      <c r="BX4" s="4"/>
      <c r="BY4" s="4"/>
      <c r="BZ4" s="47"/>
      <c r="CA4" s="30" t="s">
        <v>65</v>
      </c>
      <c r="CB4" s="4"/>
      <c r="CC4" s="106"/>
      <c r="CD4" s="4"/>
      <c r="CE4" s="87"/>
      <c r="CF4" s="4"/>
      <c r="CG4" s="30"/>
      <c r="CH4" s="30"/>
      <c r="CI4" s="30"/>
      <c r="CJ4" s="30"/>
      <c r="CK4" s="30" t="s">
        <v>65</v>
      </c>
      <c r="CL4" s="30"/>
      <c r="CM4" s="30"/>
      <c r="CN4" s="30"/>
      <c r="CO4" s="30"/>
      <c r="CP4" s="4"/>
      <c r="CQ4" s="4"/>
      <c r="CR4" s="4"/>
      <c r="CS4" s="106"/>
      <c r="CT4" s="106"/>
      <c r="CU4" s="106"/>
      <c r="CV4" s="4"/>
      <c r="CW4" s="30" t="s">
        <v>23</v>
      </c>
      <c r="CX4" s="30"/>
      <c r="CY4" s="30"/>
      <c r="CZ4" s="30"/>
      <c r="DA4" s="30"/>
      <c r="DC4"/>
      <c r="DD4"/>
      <c r="DE4"/>
      <c r="DF4"/>
      <c r="DG4"/>
      <c r="DH4"/>
      <c r="DI4"/>
      <c r="DJ4"/>
      <c r="DK4"/>
      <c r="DL4"/>
      <c r="DM4"/>
      <c r="DN4"/>
    </row>
    <row r="5" spans="1:118" s="294" customFormat="1" ht="15" customHeight="1" x14ac:dyDescent="0.2">
      <c r="A5" s="283" t="s">
        <v>170</v>
      </c>
      <c r="B5" s="284"/>
      <c r="C5" s="283"/>
      <c r="D5" s="284"/>
      <c r="E5" s="285"/>
      <c r="F5" s="286"/>
      <c r="G5" s="283" t="s">
        <v>173</v>
      </c>
      <c r="H5" s="284"/>
      <c r="I5" s="283"/>
      <c r="J5" s="284"/>
      <c r="K5" s="285"/>
      <c r="L5" s="287" t="s">
        <v>58</v>
      </c>
      <c r="M5" s="287"/>
      <c r="N5" s="288"/>
      <c r="O5" s="287" t="s">
        <v>93</v>
      </c>
      <c r="P5" s="287"/>
      <c r="Q5" s="287"/>
      <c r="R5" s="289"/>
      <c r="S5" s="287"/>
      <c r="T5" s="287" t="s">
        <v>171</v>
      </c>
      <c r="U5" s="289"/>
      <c r="V5" s="290"/>
      <c r="W5" s="287" t="s">
        <v>208</v>
      </c>
      <c r="X5" s="290"/>
      <c r="Y5" s="290"/>
      <c r="Z5" s="290"/>
      <c r="AA5" s="290"/>
      <c r="AB5" s="291" t="s">
        <v>84</v>
      </c>
      <c r="AC5" s="287"/>
      <c r="AD5" s="287"/>
      <c r="AE5" s="287"/>
      <c r="AF5" s="287"/>
      <c r="AG5" s="287"/>
      <c r="AH5" s="287"/>
      <c r="AI5" s="287" t="s">
        <v>183</v>
      </c>
      <c r="AJ5" s="287"/>
      <c r="AK5" s="287"/>
      <c r="AL5" s="287"/>
      <c r="AM5" s="289"/>
      <c r="AN5" s="291" t="s">
        <v>85</v>
      </c>
      <c r="AO5" s="289"/>
      <c r="AP5" s="289"/>
      <c r="AQ5" s="289"/>
      <c r="AR5" s="287" t="s">
        <v>98</v>
      </c>
      <c r="AS5" s="287"/>
      <c r="AT5" s="287"/>
      <c r="AU5" s="287"/>
      <c r="AV5" s="289"/>
      <c r="AW5" s="292" t="s">
        <v>110</v>
      </c>
      <c r="AX5" s="286"/>
      <c r="AY5" s="286"/>
      <c r="AZ5" s="286"/>
      <c r="BA5" s="287" t="s">
        <v>114</v>
      </c>
      <c r="BB5" s="287"/>
      <c r="BC5" s="293"/>
      <c r="BD5" s="287"/>
      <c r="BE5" s="289"/>
      <c r="BF5" s="287" t="s">
        <v>214</v>
      </c>
      <c r="BG5" s="289"/>
      <c r="BH5" s="289"/>
      <c r="BI5" s="289"/>
      <c r="BJ5" s="289"/>
      <c r="BK5" s="287" t="s">
        <v>329</v>
      </c>
      <c r="BL5" s="289"/>
      <c r="BM5" s="289"/>
      <c r="BN5" s="289"/>
      <c r="BO5" s="289"/>
      <c r="BP5" s="287" t="s">
        <v>330</v>
      </c>
      <c r="BQ5" s="289"/>
      <c r="BR5" s="289"/>
      <c r="BS5" s="289"/>
      <c r="BT5" s="289"/>
      <c r="BU5" s="287" t="s">
        <v>22</v>
      </c>
      <c r="BV5" s="287"/>
      <c r="BW5" s="287"/>
      <c r="BX5" s="287"/>
      <c r="BY5" s="287"/>
      <c r="BZ5" s="47"/>
      <c r="CA5" s="287" t="str">
        <f>TESTYEAR</f>
        <v>FOR THE TWELVE MONTHS ENDED DECEMBER 31, 2020</v>
      </c>
      <c r="CB5" s="287"/>
      <c r="CC5" s="106"/>
      <c r="CD5" s="287"/>
      <c r="CE5" s="287"/>
      <c r="CF5" s="287"/>
      <c r="CG5" s="291"/>
      <c r="CH5" s="291"/>
      <c r="CI5" s="291"/>
      <c r="CJ5" s="291"/>
      <c r="CK5" s="287" t="str">
        <f>TESTYEAR</f>
        <v>FOR THE TWELVE MONTHS ENDED DECEMBER 31, 2020</v>
      </c>
      <c r="CL5" s="291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 t="str">
        <f>TESTYEAR</f>
        <v>FOR THE TWELVE MONTHS ENDED DECEMBER 31, 2020</v>
      </c>
      <c r="CX5" s="291"/>
      <c r="CY5" s="291"/>
      <c r="CZ5" s="291"/>
      <c r="DA5" s="291"/>
      <c r="DC5"/>
      <c r="DD5"/>
      <c r="DE5"/>
      <c r="DF5"/>
      <c r="DG5"/>
      <c r="DH5"/>
      <c r="DI5"/>
      <c r="DJ5"/>
      <c r="DK5"/>
      <c r="DL5"/>
      <c r="DM5"/>
      <c r="DN5"/>
    </row>
    <row r="6" spans="1:118" s="37" customFormat="1" ht="15" customHeight="1" x14ac:dyDescent="0.2">
      <c r="A6" s="183" t="s">
        <v>320</v>
      </c>
      <c r="B6" s="183"/>
      <c r="C6" s="182"/>
      <c r="D6" s="183"/>
      <c r="E6" s="194"/>
      <c r="F6" s="212"/>
      <c r="G6" s="4" t="str">
        <f>TESTYEAR</f>
        <v>FOR THE TWELVE MONTHS ENDED DECEMBER 31, 2020</v>
      </c>
      <c r="H6" s="183"/>
      <c r="I6" s="182"/>
      <c r="J6" s="183"/>
      <c r="K6" s="194"/>
      <c r="L6" s="4" t="str">
        <f>TESTYEAR</f>
        <v>FOR THE TWELVE MONTHS ENDED DECEMBER 31, 2020</v>
      </c>
      <c r="M6" s="4"/>
      <c r="N6" s="86"/>
      <c r="O6" s="4" t="str">
        <f>TESTYEAR</f>
        <v>FOR THE TWELVE MONTHS ENDED DECEMBER 31, 2020</v>
      </c>
      <c r="P6" s="4"/>
      <c r="Q6" s="4"/>
      <c r="R6" s="32"/>
      <c r="S6" s="4" t="str">
        <f>TESTYEAR</f>
        <v>FOR THE TWELVE MONTHS ENDED DECEMBER 31, 2020</v>
      </c>
      <c r="T6" s="4"/>
      <c r="U6" s="32"/>
      <c r="V6" s="208"/>
      <c r="W6" s="4" t="str">
        <f>TESTYEAR</f>
        <v>FOR THE TWELVE MONTHS ENDED DECEMBER 31, 2020</v>
      </c>
      <c r="X6" s="208"/>
      <c r="Y6" s="208"/>
      <c r="Z6" s="208"/>
      <c r="AA6" s="208"/>
      <c r="AB6" s="30" t="str">
        <f>TESTYEAR</f>
        <v>FOR THE TWELVE MONTHS ENDED DECEMBER 31, 2020</v>
      </c>
      <c r="AC6" s="4"/>
      <c r="AD6" s="4"/>
      <c r="AE6" s="4"/>
      <c r="AF6" s="4"/>
      <c r="AG6" s="4"/>
      <c r="AH6" s="4"/>
      <c r="AI6" s="4" t="str">
        <f>TESTYEAR</f>
        <v>FOR THE TWELVE MONTHS ENDED DECEMBER 31, 2020</v>
      </c>
      <c r="AJ6" s="4"/>
      <c r="AK6" s="4"/>
      <c r="AL6" s="4"/>
      <c r="AM6" s="32"/>
      <c r="AN6" s="4" t="str">
        <f>TESTYEAR</f>
        <v>FOR THE TWELVE MONTHS ENDED DECEMBER 31, 2020</v>
      </c>
      <c r="AO6" s="32"/>
      <c r="AP6" s="32"/>
      <c r="AQ6" s="32"/>
      <c r="AR6" s="4" t="str">
        <f>TESTYEAR</f>
        <v>FOR THE TWELVE MONTHS ENDED DECEMBER 31, 2020</v>
      </c>
      <c r="AS6" s="4"/>
      <c r="AT6" s="4"/>
      <c r="AU6" s="4"/>
      <c r="AV6" s="32"/>
      <c r="AW6" s="211" t="str">
        <f>TESTYEAR</f>
        <v>FOR THE TWELVE MONTHS ENDED DECEMBER 31, 2020</v>
      </c>
      <c r="AX6" s="209"/>
      <c r="AY6" s="209"/>
      <c r="AZ6" s="209"/>
      <c r="BA6" s="4" t="str">
        <f>TESTYEAR</f>
        <v>FOR THE TWELVE MONTHS ENDED DECEMBER 31, 2020</v>
      </c>
      <c r="BB6" s="4"/>
      <c r="BC6" s="210"/>
      <c r="BD6" s="4"/>
      <c r="BE6" s="32"/>
      <c r="BF6" s="4" t="str">
        <f>TESTYEAR</f>
        <v>FOR THE TWELVE MONTHS ENDED DECEMBER 31, 2020</v>
      </c>
      <c r="BG6" s="32"/>
      <c r="BH6" s="32"/>
      <c r="BI6" s="32"/>
      <c r="BJ6" s="32"/>
      <c r="BK6" s="106" t="str">
        <f>TESTYEAR</f>
        <v>FOR THE TWELVE MONTHS ENDED DECEMBER 31, 2020</v>
      </c>
      <c r="BL6" s="32"/>
      <c r="BM6" s="32"/>
      <c r="BN6" s="32"/>
      <c r="BO6" s="32"/>
      <c r="BP6" s="106" t="str">
        <f>TESTYEAR</f>
        <v>FOR THE TWELVE MONTHS ENDED DECEMBER 31, 2020</v>
      </c>
      <c r="BQ6" s="32"/>
      <c r="BR6" s="32"/>
      <c r="BS6" s="32"/>
      <c r="BT6" s="32"/>
      <c r="BU6" s="4" t="str">
        <f>TESTYEAR</f>
        <v>FOR THE TWELVE MONTHS ENDED DECEMBER 31, 2020</v>
      </c>
      <c r="BV6" s="4"/>
      <c r="BW6" s="4"/>
      <c r="BX6" s="4"/>
      <c r="BY6" s="4"/>
      <c r="BZ6" s="47"/>
      <c r="CA6" s="30" t="str">
        <f>DOCKET</f>
        <v>COMMISSION BASIS REPORT</v>
      </c>
      <c r="CB6" s="4"/>
      <c r="CC6" s="106"/>
      <c r="CD6" s="4"/>
      <c r="CE6" s="4"/>
      <c r="CF6" s="4"/>
      <c r="CG6" s="4"/>
      <c r="CH6" s="4"/>
      <c r="CI6" s="4"/>
      <c r="CJ6" s="4"/>
      <c r="CK6" s="4" t="str">
        <f>DOCKET</f>
        <v>COMMISSION BASIS REPORT</v>
      </c>
      <c r="CL6" s="4"/>
      <c r="CM6" s="30"/>
      <c r="CN6" s="30"/>
      <c r="CO6" s="30"/>
      <c r="CP6" s="4"/>
      <c r="CQ6" s="4"/>
      <c r="CR6" s="4"/>
      <c r="CS6" s="106"/>
      <c r="CT6" s="106"/>
      <c r="CU6" s="106"/>
      <c r="CV6" s="4"/>
      <c r="CW6" s="4" t="str">
        <f>DOCKET</f>
        <v>COMMISSION BASIS REPORT</v>
      </c>
      <c r="CX6" s="4"/>
      <c r="CY6" s="4"/>
      <c r="CZ6" s="4"/>
      <c r="DA6" s="4"/>
      <c r="DC6"/>
      <c r="DD6"/>
      <c r="DE6"/>
      <c r="DF6"/>
      <c r="DG6"/>
      <c r="DH6"/>
      <c r="DI6"/>
      <c r="DJ6"/>
      <c r="DK6"/>
      <c r="DL6"/>
      <c r="DM6"/>
      <c r="DN6"/>
    </row>
    <row r="7" spans="1:118" s="31" customFormat="1" ht="15" customHeight="1" x14ac:dyDescent="0.2">
      <c r="A7" s="182" t="s">
        <v>91</v>
      </c>
      <c r="B7" s="183"/>
      <c r="C7" s="182"/>
      <c r="D7" s="182"/>
      <c r="E7" s="194"/>
      <c r="F7" s="32"/>
      <c r="G7" s="182" t="s">
        <v>91</v>
      </c>
      <c r="H7" s="183"/>
      <c r="I7" s="182"/>
      <c r="J7" s="182"/>
      <c r="K7" s="194"/>
      <c r="L7" s="4" t="str">
        <f>DOCKET</f>
        <v>COMMISSION BASIS REPORT</v>
      </c>
      <c r="M7" s="30"/>
      <c r="N7" s="86"/>
      <c r="O7" s="30" t="str">
        <f>DOCKET</f>
        <v>COMMISSION BASIS REPORT</v>
      </c>
      <c r="P7" s="4"/>
      <c r="Q7" s="4"/>
      <c r="R7" s="32"/>
      <c r="S7" s="30" t="str">
        <f>DOCKET</f>
        <v>COMMISSION BASIS REPORT</v>
      </c>
      <c r="T7" s="30"/>
      <c r="U7" s="4"/>
      <c r="V7" s="208"/>
      <c r="W7" s="30" t="str">
        <f>DOCKET</f>
        <v>COMMISSION BASIS REPORT</v>
      </c>
      <c r="X7" s="208"/>
      <c r="Y7" s="208"/>
      <c r="Z7" s="208"/>
      <c r="AA7" s="208"/>
      <c r="AB7" s="30" t="str">
        <f>DOCKET</f>
        <v>COMMISSION BASIS REPORT</v>
      </c>
      <c r="AC7" s="4"/>
      <c r="AD7" s="4"/>
      <c r="AE7" s="4"/>
      <c r="AF7" s="4"/>
      <c r="AG7" s="4"/>
      <c r="AH7" s="4"/>
      <c r="AI7" s="30" t="str">
        <f>DOCKET</f>
        <v>COMMISSION BASIS REPORT</v>
      </c>
      <c r="AJ7" s="4"/>
      <c r="AK7" s="4"/>
      <c r="AL7" s="30"/>
      <c r="AM7" s="32"/>
      <c r="AN7" s="30" t="str">
        <f>DOCKET</f>
        <v>COMMISSION BASIS REPORT</v>
      </c>
      <c r="AO7" s="4"/>
      <c r="AP7" s="4"/>
      <c r="AQ7" s="4"/>
      <c r="AR7" s="30" t="str">
        <f>DOCKET</f>
        <v>COMMISSION BASIS REPORT</v>
      </c>
      <c r="AS7" s="4"/>
      <c r="AT7" s="4"/>
      <c r="AU7" s="30"/>
      <c r="AV7" s="32"/>
      <c r="AW7" s="211" t="str">
        <f>DOCKET</f>
        <v>COMMISSION BASIS REPORT</v>
      </c>
      <c r="AX7" s="209"/>
      <c r="AY7" s="209"/>
      <c r="AZ7" s="209"/>
      <c r="BA7" s="4" t="str">
        <f>DOCKET</f>
        <v>COMMISSION BASIS REPORT</v>
      </c>
      <c r="BB7" s="4"/>
      <c r="BC7" s="210"/>
      <c r="BD7" s="4"/>
      <c r="BE7" s="4"/>
      <c r="BF7" s="30" t="str">
        <f>DOCKET</f>
        <v>COMMISSION BASIS REPORT</v>
      </c>
      <c r="BG7" s="32"/>
      <c r="BH7" s="32"/>
      <c r="BI7" s="32"/>
      <c r="BJ7" s="32"/>
      <c r="BK7" s="30" t="str">
        <f>DOCKET</f>
        <v>COMMISSION BASIS REPORT</v>
      </c>
      <c r="BL7" s="32"/>
      <c r="BM7" s="32"/>
      <c r="BN7" s="32"/>
      <c r="BO7" s="32"/>
      <c r="BP7" s="30" t="str">
        <f>DOCKET</f>
        <v>COMMISSION BASIS REPORT</v>
      </c>
      <c r="BQ7" s="32"/>
      <c r="BR7" s="32"/>
      <c r="BS7" s="32"/>
      <c r="BT7" s="32"/>
      <c r="BU7" s="30" t="str">
        <f>DOCKET</f>
        <v>COMMISSION BASIS REPORT</v>
      </c>
      <c r="BV7" s="4"/>
      <c r="BW7" s="4"/>
      <c r="BX7" s="4"/>
      <c r="BY7" s="4"/>
      <c r="BZ7" s="47"/>
      <c r="CA7" s="88"/>
      <c r="CB7" s="4"/>
      <c r="CC7" s="106" t="s">
        <v>20</v>
      </c>
      <c r="CD7" s="4"/>
      <c r="CE7" s="4"/>
      <c r="CF7" s="4"/>
      <c r="CG7" s="30"/>
      <c r="CH7" s="30"/>
      <c r="CI7" s="30"/>
      <c r="CJ7" s="30"/>
      <c r="CK7" s="30"/>
      <c r="CL7" s="30"/>
      <c r="CM7" s="4"/>
      <c r="CN7" s="4"/>
      <c r="CO7" s="4"/>
      <c r="CP7" s="4"/>
      <c r="CQ7" s="4"/>
      <c r="CR7" s="4"/>
      <c r="CS7" s="106"/>
      <c r="CT7" s="106"/>
      <c r="CU7" s="106"/>
      <c r="CV7" s="4"/>
      <c r="CX7" s="4"/>
      <c r="CY7" s="4"/>
      <c r="CZ7" s="4"/>
      <c r="DA7" s="4"/>
      <c r="DC7"/>
      <c r="DD7"/>
      <c r="DE7"/>
      <c r="DF7"/>
      <c r="DG7"/>
      <c r="DH7"/>
      <c r="DI7"/>
      <c r="DJ7"/>
      <c r="DK7"/>
      <c r="DL7"/>
      <c r="DM7"/>
      <c r="DN7"/>
    </row>
    <row r="8" spans="1:118" s="31" customFormat="1" ht="15" customHeight="1" x14ac:dyDescent="0.2">
      <c r="A8" s="179"/>
      <c r="B8" s="179"/>
      <c r="C8" s="179"/>
      <c r="D8" s="179"/>
      <c r="E8" s="157"/>
      <c r="F8" s="157"/>
      <c r="G8" s="157"/>
      <c r="H8" s="155"/>
      <c r="I8" s="155"/>
      <c r="J8" s="155"/>
      <c r="K8" s="155"/>
      <c r="M8" s="33"/>
      <c r="N8" s="89"/>
      <c r="P8" s="33"/>
      <c r="Q8" s="29"/>
      <c r="R8" s="29"/>
      <c r="S8" s="130"/>
      <c r="AD8" s="155"/>
      <c r="AE8" s="155"/>
      <c r="AF8" s="155" t="s">
        <v>177</v>
      </c>
      <c r="AG8" s="155"/>
      <c r="AH8" s="155" t="s">
        <v>102</v>
      </c>
      <c r="AI8" s="207"/>
      <c r="AJ8" s="214"/>
      <c r="AK8" s="214"/>
      <c r="AL8" s="207"/>
      <c r="AM8" s="207"/>
      <c r="AR8" s="207"/>
      <c r="AS8" s="214"/>
      <c r="AT8" s="214"/>
      <c r="AU8" s="207"/>
      <c r="AV8" s="207"/>
      <c r="AW8" s="205"/>
      <c r="AX8" s="205"/>
      <c r="AY8" s="205"/>
      <c r="AZ8" s="205"/>
      <c r="BA8" s="213"/>
      <c r="BC8" s="206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CC8" s="64" t="s">
        <v>24</v>
      </c>
      <c r="CD8" s="64"/>
      <c r="CE8" s="64"/>
      <c r="CF8" s="64"/>
      <c r="CG8" s="64"/>
      <c r="CH8" s="64"/>
      <c r="CI8" s="64"/>
      <c r="CJ8" s="64"/>
      <c r="CK8" s="64" t="s">
        <v>24</v>
      </c>
      <c r="CL8" s="90"/>
      <c r="CM8" s="64"/>
      <c r="CN8" s="64"/>
      <c r="CO8" s="64"/>
      <c r="CP8" s="64"/>
      <c r="CQ8" s="64"/>
      <c r="CR8" s="64"/>
      <c r="CS8" s="64"/>
      <c r="CT8" s="64"/>
      <c r="CU8" s="64"/>
      <c r="CV8" s="64"/>
      <c r="DC8"/>
      <c r="DD8"/>
      <c r="DE8"/>
      <c r="DF8"/>
      <c r="DG8"/>
      <c r="DH8"/>
      <c r="DI8"/>
      <c r="DJ8"/>
      <c r="DK8"/>
      <c r="DL8"/>
      <c r="DM8"/>
      <c r="DN8"/>
    </row>
    <row r="9" spans="1:118" s="31" customFormat="1" ht="15" customHeight="1" x14ac:dyDescent="0.2">
      <c r="A9" s="157" t="s">
        <v>25</v>
      </c>
      <c r="B9" s="181"/>
      <c r="C9" s="179"/>
      <c r="D9" s="179"/>
      <c r="E9" s="157"/>
      <c r="F9" s="157"/>
      <c r="G9" s="157" t="s">
        <v>25</v>
      </c>
      <c r="H9" s="155"/>
      <c r="I9" s="155"/>
      <c r="J9" s="155"/>
      <c r="K9" s="155"/>
      <c r="L9" s="40" t="s">
        <v>25</v>
      </c>
      <c r="N9" s="89"/>
      <c r="O9" s="40" t="s">
        <v>25</v>
      </c>
      <c r="R9" s="16" t="s">
        <v>20</v>
      </c>
      <c r="S9" s="16" t="s">
        <v>25</v>
      </c>
      <c r="U9" s="130"/>
      <c r="V9" s="215"/>
      <c r="W9" s="16" t="s">
        <v>25</v>
      </c>
      <c r="AA9" s="37"/>
      <c r="AB9" s="40" t="s">
        <v>25</v>
      </c>
      <c r="AC9" s="33"/>
      <c r="AD9" s="155" t="s">
        <v>103</v>
      </c>
      <c r="AE9" s="155" t="s">
        <v>104</v>
      </c>
      <c r="AF9" s="155" t="s">
        <v>178</v>
      </c>
      <c r="AG9" s="155" t="s">
        <v>103</v>
      </c>
      <c r="AH9" s="155" t="s">
        <v>105</v>
      </c>
      <c r="AI9" s="40" t="s">
        <v>25</v>
      </c>
      <c r="AK9" s="412"/>
      <c r="AL9" s="413"/>
      <c r="AM9" s="413"/>
      <c r="AN9" s="40" t="s">
        <v>25</v>
      </c>
      <c r="AR9" s="16" t="s">
        <v>25</v>
      </c>
      <c r="AS9" s="207"/>
      <c r="AT9" s="207"/>
      <c r="AU9" s="207"/>
      <c r="AV9" s="207"/>
      <c r="AW9" s="157" t="s">
        <v>25</v>
      </c>
      <c r="AX9" s="216"/>
      <c r="AY9" s="216"/>
      <c r="AZ9" s="205"/>
      <c r="BA9" s="213" t="s">
        <v>26</v>
      </c>
      <c r="BC9" s="206"/>
      <c r="BD9" s="40"/>
      <c r="BE9" s="40"/>
      <c r="BF9" s="40" t="s">
        <v>25</v>
      </c>
      <c r="BH9" s="40"/>
      <c r="BI9" s="40"/>
      <c r="BJ9" s="40"/>
      <c r="BK9" s="40" t="s">
        <v>25</v>
      </c>
      <c r="BM9" s="40"/>
      <c r="BN9" s="40"/>
      <c r="BO9" s="40"/>
      <c r="BP9" s="40" t="s">
        <v>25</v>
      </c>
      <c r="BR9" s="40"/>
      <c r="BS9" s="40"/>
      <c r="BT9" s="40"/>
      <c r="BU9" s="16" t="s">
        <v>25</v>
      </c>
      <c r="CC9" s="16" t="s">
        <v>27</v>
      </c>
      <c r="CD9" s="29" t="s">
        <v>145</v>
      </c>
      <c r="CE9" s="29" t="s">
        <v>175</v>
      </c>
      <c r="CF9" s="29" t="s">
        <v>28</v>
      </c>
      <c r="CG9" s="29" t="s">
        <v>29</v>
      </c>
      <c r="CH9" s="16" t="s">
        <v>166</v>
      </c>
      <c r="CI9" s="16" t="s">
        <v>206</v>
      </c>
      <c r="CJ9" s="29" t="s">
        <v>30</v>
      </c>
      <c r="CK9" s="29"/>
      <c r="CL9" s="29"/>
      <c r="CM9" s="16" t="s">
        <v>181</v>
      </c>
      <c r="CN9" s="16" t="s">
        <v>86</v>
      </c>
      <c r="CO9" s="16" t="s">
        <v>100</v>
      </c>
      <c r="CP9" s="155" t="s">
        <v>112</v>
      </c>
      <c r="CQ9" s="16" t="s">
        <v>117</v>
      </c>
      <c r="CR9" s="16" t="s">
        <v>212</v>
      </c>
      <c r="CS9" s="16" t="s">
        <v>331</v>
      </c>
      <c r="CT9" s="16" t="s">
        <v>333</v>
      </c>
      <c r="CU9" s="16" t="s">
        <v>32</v>
      </c>
      <c r="CV9" s="16" t="s">
        <v>76</v>
      </c>
      <c r="CY9" s="16" t="s">
        <v>31</v>
      </c>
      <c r="CZ9" s="16"/>
      <c r="DA9" s="16" t="s">
        <v>35</v>
      </c>
      <c r="DC9"/>
      <c r="DD9"/>
      <c r="DE9"/>
      <c r="DF9"/>
      <c r="DG9"/>
      <c r="DH9"/>
      <c r="DI9"/>
      <c r="DJ9"/>
      <c r="DK9"/>
      <c r="DL9"/>
      <c r="DM9"/>
      <c r="DN9"/>
    </row>
    <row r="10" spans="1:118" s="31" customFormat="1" ht="15" customHeight="1" x14ac:dyDescent="0.2">
      <c r="A10" s="158" t="s">
        <v>33</v>
      </c>
      <c r="B10" s="217" t="s">
        <v>34</v>
      </c>
      <c r="C10" s="53" t="s">
        <v>31</v>
      </c>
      <c r="D10" s="53" t="s">
        <v>35</v>
      </c>
      <c r="E10" s="398" t="s">
        <v>37</v>
      </c>
      <c r="F10" s="398"/>
      <c r="G10" s="158" t="s">
        <v>33</v>
      </c>
      <c r="H10" s="187" t="s">
        <v>34</v>
      </c>
      <c r="I10" s="187"/>
      <c r="J10" s="188" t="s">
        <v>37</v>
      </c>
      <c r="K10" s="188"/>
      <c r="L10" s="53" t="s">
        <v>33</v>
      </c>
      <c r="M10" s="35" t="s">
        <v>34</v>
      </c>
      <c r="N10" s="91" t="s">
        <v>36</v>
      </c>
      <c r="O10" s="53" t="s">
        <v>33</v>
      </c>
      <c r="P10" s="35" t="s">
        <v>34</v>
      </c>
      <c r="Q10" s="22"/>
      <c r="R10" s="22" t="s">
        <v>36</v>
      </c>
      <c r="S10" s="22" t="s">
        <v>33</v>
      </c>
      <c r="T10" s="218" t="s">
        <v>34</v>
      </c>
      <c r="U10" s="22"/>
      <c r="V10" s="219" t="s">
        <v>37</v>
      </c>
      <c r="W10" s="22" t="s">
        <v>33</v>
      </c>
      <c r="X10" s="218" t="s">
        <v>34</v>
      </c>
      <c r="Y10" s="35"/>
      <c r="Z10" s="271"/>
      <c r="AA10" s="22" t="s">
        <v>36</v>
      </c>
      <c r="AB10" s="53" t="s">
        <v>33</v>
      </c>
      <c r="AC10" s="156" t="s">
        <v>108</v>
      </c>
      <c r="AD10" s="156" t="s">
        <v>105</v>
      </c>
      <c r="AE10" s="156" t="s">
        <v>106</v>
      </c>
      <c r="AF10" s="156" t="s">
        <v>175</v>
      </c>
      <c r="AG10" s="156" t="s">
        <v>106</v>
      </c>
      <c r="AH10" s="156" t="s">
        <v>107</v>
      </c>
      <c r="AI10" s="22" t="s">
        <v>33</v>
      </c>
      <c r="AJ10" s="34" t="s">
        <v>34</v>
      </c>
      <c r="AK10" s="222" t="s">
        <v>31</v>
      </c>
      <c r="AL10" s="224" t="s">
        <v>35</v>
      </c>
      <c r="AM10" s="53" t="s">
        <v>37</v>
      </c>
      <c r="AN10" s="22" t="s">
        <v>33</v>
      </c>
      <c r="AO10" s="218" t="s">
        <v>34</v>
      </c>
      <c r="AP10" s="218"/>
      <c r="AQ10" s="53" t="s">
        <v>36</v>
      </c>
      <c r="AR10" s="22" t="s">
        <v>33</v>
      </c>
      <c r="AS10" s="218" t="s">
        <v>34</v>
      </c>
      <c r="AT10" s="22" t="s">
        <v>92</v>
      </c>
      <c r="AU10" s="22" t="s">
        <v>35</v>
      </c>
      <c r="AV10" s="223" t="s">
        <v>37</v>
      </c>
      <c r="AW10" s="158" t="s">
        <v>33</v>
      </c>
      <c r="AX10" s="217" t="s">
        <v>34</v>
      </c>
      <c r="AY10" s="156"/>
      <c r="AZ10" s="220" t="s">
        <v>36</v>
      </c>
      <c r="BA10" s="221" t="s">
        <v>33</v>
      </c>
      <c r="BB10" s="35" t="s">
        <v>34</v>
      </c>
      <c r="BC10" s="222" t="s">
        <v>31</v>
      </c>
      <c r="BD10" s="53" t="s">
        <v>205</v>
      </c>
      <c r="BE10" s="53" t="s">
        <v>37</v>
      </c>
      <c r="BF10" s="22" t="s">
        <v>33</v>
      </c>
      <c r="BG10" s="34" t="s">
        <v>34</v>
      </c>
      <c r="BH10" s="53" t="s">
        <v>31</v>
      </c>
      <c r="BI10" s="53" t="s">
        <v>35</v>
      </c>
      <c r="BJ10" s="53" t="s">
        <v>37</v>
      </c>
      <c r="BK10" s="22" t="s">
        <v>33</v>
      </c>
      <c r="BL10" s="34" t="s">
        <v>34</v>
      </c>
      <c r="BM10" s="53" t="s">
        <v>31</v>
      </c>
      <c r="BN10" s="53" t="s">
        <v>35</v>
      </c>
      <c r="BO10" s="53" t="s">
        <v>37</v>
      </c>
      <c r="BP10" s="22" t="s">
        <v>33</v>
      </c>
      <c r="BQ10" s="34" t="s">
        <v>34</v>
      </c>
      <c r="BR10" s="53" t="s">
        <v>31</v>
      </c>
      <c r="BS10" s="53" t="s">
        <v>35</v>
      </c>
      <c r="BT10" s="53" t="s">
        <v>37</v>
      </c>
      <c r="BU10" s="22" t="s">
        <v>33</v>
      </c>
      <c r="BV10" s="35" t="s">
        <v>34</v>
      </c>
      <c r="BW10" s="22" t="s">
        <v>45</v>
      </c>
      <c r="BX10" s="22" t="s">
        <v>46</v>
      </c>
      <c r="BY10" s="22" t="s">
        <v>36</v>
      </c>
      <c r="BZ10" s="29"/>
      <c r="CA10" s="16" t="s">
        <v>25</v>
      </c>
      <c r="CB10" s="143"/>
      <c r="CC10" s="16" t="s">
        <v>38</v>
      </c>
      <c r="CD10" s="29" t="s">
        <v>146</v>
      </c>
      <c r="CE10" s="29" t="s">
        <v>174</v>
      </c>
      <c r="CF10" s="29" t="s">
        <v>40</v>
      </c>
      <c r="CG10" s="29" t="s">
        <v>41</v>
      </c>
      <c r="CH10" s="16" t="s">
        <v>172</v>
      </c>
      <c r="CI10" s="16" t="s">
        <v>207</v>
      </c>
      <c r="CJ10" s="29" t="s">
        <v>42</v>
      </c>
      <c r="CK10" s="16" t="s">
        <v>25</v>
      </c>
      <c r="CM10" s="16" t="s">
        <v>182</v>
      </c>
      <c r="CN10" s="16" t="s">
        <v>87</v>
      </c>
      <c r="CO10" s="16" t="s">
        <v>101</v>
      </c>
      <c r="CP10" s="225" t="s">
        <v>113</v>
      </c>
      <c r="CQ10" s="16" t="s">
        <v>118</v>
      </c>
      <c r="CR10" s="16" t="s">
        <v>213</v>
      </c>
      <c r="CS10" s="16" t="s">
        <v>332</v>
      </c>
      <c r="CT10" s="16" t="s">
        <v>378</v>
      </c>
      <c r="CU10" s="16" t="s">
        <v>43</v>
      </c>
      <c r="CV10" s="16" t="s">
        <v>44</v>
      </c>
      <c r="CW10" s="16" t="s">
        <v>25</v>
      </c>
      <c r="CY10" s="16" t="s">
        <v>44</v>
      </c>
      <c r="CZ10" s="16" t="s">
        <v>32</v>
      </c>
      <c r="DA10" s="16" t="s">
        <v>44</v>
      </c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ht="15" customHeight="1" x14ac:dyDescent="0.2">
      <c r="A11" s="162"/>
      <c r="B11" s="226"/>
      <c r="C11" s="226"/>
      <c r="D11" s="184"/>
      <c r="E11" s="154"/>
      <c r="F11" s="154"/>
      <c r="G11" s="154"/>
      <c r="H11" s="189"/>
      <c r="I11" s="189"/>
      <c r="J11" s="190"/>
      <c r="K11" s="190"/>
      <c r="N11" s="56"/>
      <c r="O11" s="17"/>
      <c r="P11" s="79"/>
      <c r="Q11" s="80" t="s">
        <v>20</v>
      </c>
      <c r="R11" s="57"/>
      <c r="S11" s="17"/>
      <c r="T11" s="227"/>
      <c r="U11" s="228"/>
      <c r="V11" s="229"/>
      <c r="W11" s="229"/>
      <c r="X11" s="229"/>
      <c r="Y11" s="229"/>
      <c r="Z11" s="229"/>
      <c r="AA11" s="229"/>
      <c r="AD11" s="470" t="s">
        <v>259</v>
      </c>
      <c r="AE11" s="470" t="s">
        <v>260</v>
      </c>
      <c r="AF11" s="470" t="s">
        <v>260</v>
      </c>
      <c r="AG11" s="470" t="s">
        <v>260</v>
      </c>
      <c r="AI11" s="2"/>
      <c r="AJ11" s="2"/>
      <c r="AK11" s="2"/>
      <c r="AL11" s="2"/>
      <c r="AM11" s="2"/>
      <c r="AQ11" s="2"/>
      <c r="AR11" s="18"/>
      <c r="AS11" s="18"/>
      <c r="AT11" s="18"/>
      <c r="AU11" s="18"/>
      <c r="AV11" s="18"/>
      <c r="BA11" s="54"/>
      <c r="BB11" s="55"/>
      <c r="BC11" s="20"/>
      <c r="BF11" s="2"/>
      <c r="BG11" s="185"/>
      <c r="BH11" s="185"/>
      <c r="BI11" s="185"/>
      <c r="BJ11" s="185"/>
      <c r="BK11" s="479"/>
      <c r="BL11" s="347"/>
      <c r="BM11" s="347"/>
      <c r="BN11" s="347"/>
      <c r="BO11" s="347"/>
      <c r="BP11" s="479"/>
      <c r="BQ11" s="347"/>
      <c r="BR11" s="347"/>
      <c r="BS11" s="347"/>
      <c r="BT11" s="347"/>
      <c r="CA11" s="16" t="s">
        <v>33</v>
      </c>
      <c r="CB11" s="103"/>
      <c r="CC11" s="16" t="s">
        <v>344</v>
      </c>
      <c r="CD11" s="198" t="s">
        <v>229</v>
      </c>
      <c r="CE11" s="198" t="s">
        <v>230</v>
      </c>
      <c r="CF11" s="198" t="s">
        <v>231</v>
      </c>
      <c r="CG11" s="198" t="s">
        <v>232</v>
      </c>
      <c r="CH11" s="198" t="s">
        <v>233</v>
      </c>
      <c r="CI11" s="198" t="s">
        <v>234</v>
      </c>
      <c r="CJ11" s="198" t="s">
        <v>235</v>
      </c>
      <c r="CK11" s="16" t="s">
        <v>33</v>
      </c>
      <c r="CL11" s="31"/>
      <c r="CM11" s="198" t="s">
        <v>236</v>
      </c>
      <c r="CN11" s="198" t="s">
        <v>237</v>
      </c>
      <c r="CO11" s="198" t="s">
        <v>238</v>
      </c>
      <c r="CP11" s="198" t="s">
        <v>239</v>
      </c>
      <c r="CQ11" s="198" t="s">
        <v>240</v>
      </c>
      <c r="CR11" s="198" t="s">
        <v>241</v>
      </c>
      <c r="CS11" s="198" t="s">
        <v>335</v>
      </c>
      <c r="CT11" s="198" t="s">
        <v>336</v>
      </c>
      <c r="CU11" s="198"/>
      <c r="CV11" s="29" t="s">
        <v>38</v>
      </c>
      <c r="CW11" s="22" t="s">
        <v>33</v>
      </c>
      <c r="CX11" s="92"/>
      <c r="CY11" s="22" t="s">
        <v>38</v>
      </c>
      <c r="CZ11" s="22" t="s">
        <v>43</v>
      </c>
      <c r="DA11" s="22" t="s">
        <v>38</v>
      </c>
    </row>
    <row r="12" spans="1:118" ht="15" customHeight="1" x14ac:dyDescent="0.25">
      <c r="A12" s="17">
        <v>1</v>
      </c>
      <c r="B12" s="161" t="s">
        <v>135</v>
      </c>
      <c r="C12" s="163"/>
      <c r="D12" s="163"/>
      <c r="E12" s="159"/>
      <c r="F12" s="154"/>
      <c r="G12" s="54">
        <v>1</v>
      </c>
      <c r="H12" s="159" t="s">
        <v>147</v>
      </c>
      <c r="I12" s="159"/>
      <c r="J12" s="159"/>
      <c r="K12" s="159"/>
      <c r="L12" s="107">
        <v>1</v>
      </c>
      <c r="M12" s="93" t="s">
        <v>48</v>
      </c>
      <c r="N12" s="480">
        <f>'[11]Lead G'!$C$13</f>
        <v>139295225.91884428</v>
      </c>
      <c r="O12" s="17">
        <v>1</v>
      </c>
      <c r="P12" s="79" t="s">
        <v>63</v>
      </c>
      <c r="Q12" s="377">
        <f>DA46</f>
        <v>2301107566.1432133</v>
      </c>
      <c r="R12" s="19"/>
      <c r="S12" s="17">
        <v>1</v>
      </c>
      <c r="T12" s="230" t="s">
        <v>152</v>
      </c>
      <c r="V12" s="43"/>
      <c r="W12" s="17">
        <v>1</v>
      </c>
      <c r="X12" s="207" t="s">
        <v>209</v>
      </c>
      <c r="Y12" s="272"/>
      <c r="Z12" s="96"/>
      <c r="AA12"/>
      <c r="AB12" s="36" t="s">
        <v>47</v>
      </c>
      <c r="AC12" s="471" t="s">
        <v>293</v>
      </c>
      <c r="AD12" s="26">
        <f>'[12]Lead Sheet'!C14</f>
        <v>4457528.6000000006</v>
      </c>
      <c r="AE12" s="343">
        <f>'[12]Lead Sheet'!D14</f>
        <v>896161552.14999998</v>
      </c>
      <c r="AF12" s="343">
        <f>'[12]Lead Sheet'!E14</f>
        <v>14277246.51</v>
      </c>
      <c r="AG12" s="343">
        <f>'[12]Lead Sheet'!F14</f>
        <v>881884305.63999999</v>
      </c>
      <c r="AH12" s="354">
        <f>ROUND(AD12/AG12,6)</f>
        <v>5.0549999999999996E-3</v>
      </c>
      <c r="AI12" s="17">
        <v>1</v>
      </c>
      <c r="AJ12" s="81"/>
      <c r="AK12" s="233"/>
      <c r="AL12" s="233"/>
      <c r="AM12" s="26"/>
      <c r="AN12" s="17">
        <v>1</v>
      </c>
      <c r="AO12" s="231" t="s">
        <v>78</v>
      </c>
      <c r="AP12" s="232"/>
      <c r="AQ12" s="13">
        <f>'[13]Lead G'!$D$12</f>
        <v>37105632.841624983</v>
      </c>
      <c r="AR12" s="17">
        <v>1</v>
      </c>
      <c r="AS12" s="18" t="s">
        <v>99</v>
      </c>
      <c r="AT12" s="322">
        <f>+'[14] Gas'!C12</f>
        <v>61057.190399190244</v>
      </c>
      <c r="AU12" s="322">
        <f>+'[14] Gas'!D12</f>
        <v>47450.287067614896</v>
      </c>
      <c r="AV12" s="322">
        <f>+AU12-AT12</f>
        <v>-13606.903331575348</v>
      </c>
      <c r="AW12" s="17">
        <v>1</v>
      </c>
      <c r="AX12" s="161" t="s">
        <v>111</v>
      </c>
      <c r="AY12" s="161"/>
      <c r="AZ12" s="138">
        <f>'[15]3.11G'!$D$12</f>
        <v>80668.137876548644</v>
      </c>
      <c r="BA12" s="54">
        <v>1</v>
      </c>
      <c r="BB12" s="163" t="s">
        <v>64</v>
      </c>
      <c r="BC12" s="343">
        <f>'[16]Lead G'!$C$14</f>
        <v>2438058.5834958102</v>
      </c>
      <c r="BD12" s="343">
        <f>'[16]Lead G'!$D$14</f>
        <v>2568319.8736279211</v>
      </c>
      <c r="BE12" s="131">
        <f>BD12-BC12</f>
        <v>130261.29013211094</v>
      </c>
      <c r="BF12" s="17">
        <v>1</v>
      </c>
      <c r="BG12" s="131" t="s">
        <v>215</v>
      </c>
      <c r="BH12" s="333">
        <f>'[17]Lead G'!$C$13</f>
        <v>147750</v>
      </c>
      <c r="BI12" s="333">
        <f>'[17]Lead G'!$D$13</f>
        <v>-451632.50666666665</v>
      </c>
      <c r="BJ12" s="334">
        <f>BI12-BH12</f>
        <v>-599382.5066666666</v>
      </c>
      <c r="BK12" s="107">
        <v>1</v>
      </c>
      <c r="BL12" s="230"/>
      <c r="BM12" s="319"/>
      <c r="BN12" s="319"/>
      <c r="BO12" s="319"/>
      <c r="BP12" s="107">
        <v>1</v>
      </c>
      <c r="BQ12" s="601" t="s">
        <v>382</v>
      </c>
      <c r="BR12" s="479"/>
      <c r="BS12" s="479"/>
      <c r="BT12" s="369"/>
      <c r="BU12" s="17">
        <v>1</v>
      </c>
      <c r="BV12" s="163" t="s">
        <v>84</v>
      </c>
      <c r="BY12" s="369">
        <f>AH16</f>
        <v>4.5199999999999997E-3</v>
      </c>
      <c r="BZ12" s="234"/>
      <c r="CA12" s="3" t="s">
        <v>49</v>
      </c>
      <c r="CB12" s="3"/>
      <c r="CC12" s="235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18" ht="15" customHeight="1" x14ac:dyDescent="0.25">
      <c r="A13" s="17">
        <f t="shared" ref="A13:A50" si="0">+A12+1</f>
        <v>2</v>
      </c>
      <c r="B13" s="159"/>
      <c r="C13" s="236" t="s">
        <v>31</v>
      </c>
      <c r="D13" s="237" t="s">
        <v>136</v>
      </c>
      <c r="E13" s="238" t="s">
        <v>137</v>
      </c>
      <c r="F13" s="154"/>
      <c r="G13" s="54">
        <f t="shared" ref="G13:G39" si="1">+G12+1</f>
        <v>2</v>
      </c>
      <c r="H13" s="279"/>
      <c r="I13" s="191"/>
      <c r="J13" s="310"/>
      <c r="K13" s="159"/>
      <c r="L13" s="107">
        <f>L12+1</f>
        <v>2</v>
      </c>
      <c r="M13" s="18"/>
      <c r="N13" s="481"/>
      <c r="O13" s="17">
        <f t="shared" ref="O13:O24" si="2">+O12+1</f>
        <v>2</v>
      </c>
      <c r="P13" s="408"/>
      <c r="Q13" s="328"/>
      <c r="R13" s="19" t="s">
        <v>20</v>
      </c>
      <c r="S13" s="17">
        <f t="shared" ref="S13:S42" si="3">+S12+1</f>
        <v>2</v>
      </c>
      <c r="T13" s="373" t="s">
        <v>153</v>
      </c>
      <c r="V13" s="361">
        <f>+'[18]Lead 3.05 '!E10</f>
        <v>5323295.8099999996</v>
      </c>
      <c r="W13" s="17">
        <f t="shared" ref="W13:W24" si="4">+W12+1</f>
        <v>2</v>
      </c>
      <c r="X13" s="18"/>
      <c r="Y13" s="272"/>
      <c r="Z13" s="96"/>
      <c r="AA13"/>
      <c r="AB13" s="36">
        <f t="shared" ref="AB13:AB29" si="5">1+AB12</f>
        <v>2</v>
      </c>
      <c r="AC13" s="471" t="s">
        <v>294</v>
      </c>
      <c r="AD13" s="343">
        <f>'[12]Lead Sheet'!C15</f>
        <v>4875798.22</v>
      </c>
      <c r="AE13" s="343">
        <f>'[12]Lead Sheet'!D15</f>
        <v>985378965.08999991</v>
      </c>
      <c r="AF13" s="343">
        <f>'[12]Lead Sheet'!E15</f>
        <v>12751981.48</v>
      </c>
      <c r="AG13" s="343">
        <f>'[12]Lead Sheet'!F15</f>
        <v>972626983.6099999</v>
      </c>
      <c r="AH13" s="354">
        <f>ROUND(AD13/AG13,6)</f>
        <v>5.0130000000000001E-3</v>
      </c>
      <c r="AI13" s="17">
        <f t="shared" ref="AI13:AI21" si="6">AI12+1</f>
        <v>2</v>
      </c>
      <c r="AJ13" s="266" t="s">
        <v>257</v>
      </c>
      <c r="AK13" s="233">
        <f>'[19] Gas'!$C$12</f>
        <v>1828892.0704246743</v>
      </c>
      <c r="AL13" s="343">
        <f>'[19] Gas'!$D$12</f>
        <v>3569102.9026982067</v>
      </c>
      <c r="AM13" s="338">
        <f>AL13-AK13</f>
        <v>1740210.8322735324</v>
      </c>
      <c r="AN13" s="17">
        <v>2</v>
      </c>
      <c r="AO13" s="48" t="s">
        <v>79</v>
      </c>
      <c r="AP13" s="48"/>
      <c r="AQ13" s="414">
        <f>'[13]Lead G'!$C$12</f>
        <v>37106839.317624979</v>
      </c>
      <c r="AR13" s="17">
        <f t="shared" ref="AR13:AR20" si="7">AR12+1</f>
        <v>2</v>
      </c>
      <c r="AS13" s="18"/>
      <c r="AT13" s="323"/>
      <c r="AU13" s="323"/>
      <c r="AV13" s="80"/>
      <c r="AW13" s="17">
        <f>AW12+1</f>
        <v>2</v>
      </c>
      <c r="AX13" s="239"/>
      <c r="AY13" s="239"/>
      <c r="AZ13" s="26"/>
      <c r="BA13" s="54">
        <f t="shared" ref="BA13:BA20" si="8">BA12+1</f>
        <v>2</v>
      </c>
      <c r="BB13" s="163"/>
      <c r="BC13" s="344"/>
      <c r="BD13" s="344"/>
      <c r="BE13" s="146"/>
      <c r="BF13" s="17">
        <f t="shared" ref="BF13:BF19" si="9">BF12+1</f>
        <v>2</v>
      </c>
      <c r="BG13" s="131" t="s">
        <v>216</v>
      </c>
      <c r="BH13" s="335">
        <f>'[17]Lead G'!$C$14</f>
        <v>376283.07590591279</v>
      </c>
      <c r="BI13" s="335">
        <f>'[17]Lead G'!$D$14</f>
        <v>741955.42835136375</v>
      </c>
      <c r="BJ13" s="335">
        <f>BI13-BH13</f>
        <v>365672.35244545096</v>
      </c>
      <c r="BK13" s="107">
        <f t="shared" ref="BK13:BK17" si="10">BK12+1</f>
        <v>2</v>
      </c>
      <c r="BL13" s="230" t="s">
        <v>337</v>
      </c>
      <c r="BM13" s="479"/>
      <c r="BN13" s="347"/>
      <c r="BO13" s="347"/>
      <c r="BP13" s="107">
        <f t="shared" ref="BP13:BP17" si="11">BP12+1</f>
        <v>2</v>
      </c>
      <c r="BQ13" s="601" t="s">
        <v>383</v>
      </c>
      <c r="BR13" s="605">
        <f>'[20]3.21G'!D15</f>
        <v>545.98</v>
      </c>
      <c r="BS13" s="319">
        <f>'[20]3.21G'!E15</f>
        <v>0</v>
      </c>
      <c r="BT13" s="319">
        <f>'[20]3.21G'!F15</f>
        <v>-545.98</v>
      </c>
      <c r="BU13" s="17">
        <f t="shared" ref="BP13:BU20" si="12">+BU12+1</f>
        <v>2</v>
      </c>
      <c r="BV13" s="163" t="s">
        <v>158</v>
      </c>
      <c r="BY13" s="240">
        <f>'[21]4.01 G'!$E$14</f>
        <v>2E-3</v>
      </c>
      <c r="BZ13" s="241"/>
      <c r="CA13" s="17">
        <v>1</v>
      </c>
      <c r="CB13" s="18" t="s">
        <v>50</v>
      </c>
      <c r="CC13" s="494" t="s">
        <v>20</v>
      </c>
      <c r="CD13" s="23"/>
      <c r="CE13" s="23"/>
      <c r="CF13" s="23"/>
      <c r="CG13" s="23"/>
      <c r="CH13" s="23"/>
      <c r="CI13" s="23"/>
      <c r="CK13" s="17">
        <v>1</v>
      </c>
      <c r="CL13" s="18" t="s">
        <v>50</v>
      </c>
      <c r="CM13" s="17"/>
      <c r="CN13" s="23"/>
      <c r="CO13" s="17"/>
      <c r="CQ13" s="17"/>
      <c r="CR13" s="17"/>
      <c r="CS13" s="107"/>
      <c r="CT13" s="107"/>
      <c r="CU13" s="107"/>
      <c r="CV13" s="169"/>
      <c r="CW13" s="17">
        <v>1</v>
      </c>
      <c r="CX13" s="55" t="s">
        <v>0</v>
      </c>
      <c r="CY13" s="23"/>
    </row>
    <row r="14" spans="1:118" ht="15" customHeight="1" x14ac:dyDescent="0.25">
      <c r="A14" s="17">
        <f t="shared" si="0"/>
        <v>3</v>
      </c>
      <c r="B14" s="159"/>
      <c r="C14" s="242" t="s">
        <v>137</v>
      </c>
      <c r="D14" s="243" t="s">
        <v>137</v>
      </c>
      <c r="E14" s="244" t="s">
        <v>138</v>
      </c>
      <c r="F14" s="154"/>
      <c r="G14" s="54">
        <f t="shared" si="1"/>
        <v>3</v>
      </c>
      <c r="H14" s="274" t="s">
        <v>379</v>
      </c>
      <c r="I14" s="159"/>
      <c r="J14" s="394">
        <f>+'[22]3.02G'!$D$13</f>
        <v>3908159.36</v>
      </c>
      <c r="K14" s="52"/>
      <c r="L14" s="107">
        <f t="shared" ref="L14:L32" si="13">L13+1</f>
        <v>3</v>
      </c>
      <c r="M14" s="18" t="s">
        <v>301</v>
      </c>
      <c r="N14" s="482"/>
      <c r="O14" s="17">
        <f t="shared" si="2"/>
        <v>3</v>
      </c>
      <c r="P14" s="2" t="s">
        <v>176</v>
      </c>
      <c r="Q14" s="330">
        <f>SUM(Q12:Q13)</f>
        <v>2301107566.1432133</v>
      </c>
      <c r="S14" s="17">
        <f t="shared" si="3"/>
        <v>3</v>
      </c>
      <c r="T14" s="373" t="s">
        <v>154</v>
      </c>
      <c r="V14" s="483">
        <f>+'[18]Lead 3.05 '!E11</f>
        <v>18064609.91</v>
      </c>
      <c r="W14" s="17">
        <f t="shared" si="4"/>
        <v>3</v>
      </c>
      <c r="X14" s="18" t="s">
        <v>334</v>
      </c>
      <c r="Y14" s="272"/>
      <c r="Z14" s="96">
        <f>'[23]Lead G'!$D$15</f>
        <v>1343000</v>
      </c>
      <c r="AA14" s="37"/>
      <c r="AB14" s="36">
        <f t="shared" si="5"/>
        <v>3</v>
      </c>
      <c r="AC14" s="471" t="s">
        <v>343</v>
      </c>
      <c r="AD14" s="343">
        <f>'[12]Lead Sheet'!C16</f>
        <v>2799841.3412500005</v>
      </c>
      <c r="AE14" s="343">
        <f>'[12]Lead Sheet'!D16</f>
        <v>818021856.11000013</v>
      </c>
      <c r="AF14" s="343">
        <f>'[12]Lead Sheet'!E16</f>
        <v>16532125.48</v>
      </c>
      <c r="AG14" s="343">
        <f>'[12]Lead Sheet'!F16</f>
        <v>801489730.63000011</v>
      </c>
      <c r="AH14" s="354">
        <f>ROUND(AD14/AG14,6)</f>
        <v>3.493E-3</v>
      </c>
      <c r="AI14" s="17">
        <f t="shared" si="6"/>
        <v>3</v>
      </c>
      <c r="AJ14" s="43"/>
      <c r="AK14" s="2"/>
      <c r="AL14" s="2"/>
      <c r="AM14" s="343"/>
      <c r="AN14" s="17">
        <v>3</v>
      </c>
      <c r="AO14" s="245" t="s">
        <v>80</v>
      </c>
      <c r="AP14" s="245"/>
      <c r="AQ14" s="318">
        <f>AQ12-AQ13</f>
        <v>-1206.4759999960661</v>
      </c>
      <c r="AR14" s="17">
        <f t="shared" si="7"/>
        <v>3</v>
      </c>
      <c r="AS14" s="18" t="s">
        <v>54</v>
      </c>
      <c r="AT14" s="324">
        <f>SUM(AT12:AT13)</f>
        <v>61057.190399190244</v>
      </c>
      <c r="AU14" s="324">
        <f>SUM(AU12:AU13)</f>
        <v>47450.287067614896</v>
      </c>
      <c r="AV14" s="325">
        <f>SUM(AV12:AV13)</f>
        <v>-13606.903331575348</v>
      </c>
      <c r="AW14" s="17">
        <f>AW13+1</f>
        <v>3</v>
      </c>
      <c r="AZ14" s="45"/>
      <c r="BA14" s="54">
        <f t="shared" si="8"/>
        <v>3</v>
      </c>
      <c r="BB14" s="163"/>
      <c r="BC14" s="345"/>
      <c r="BD14" s="345"/>
      <c r="BE14" s="345"/>
      <c r="BF14" s="17">
        <f t="shared" si="9"/>
        <v>3</v>
      </c>
      <c r="BG14" s="131" t="s">
        <v>217</v>
      </c>
      <c r="BH14" s="336">
        <f>SUM(BH12:BH13)</f>
        <v>524033.07590591279</v>
      </c>
      <c r="BI14" s="336">
        <f>SUM(BI12:BI13)</f>
        <v>290322.9216846971</v>
      </c>
      <c r="BJ14" s="336">
        <f>SUM(BJ12:BJ13)</f>
        <v>-233710.15422121563</v>
      </c>
      <c r="BK14" s="107">
        <f t="shared" si="10"/>
        <v>3</v>
      </c>
      <c r="BL14" s="526" t="s">
        <v>338</v>
      </c>
      <c r="BM14" s="319">
        <f>'[24]3.19G'!$C$14</f>
        <v>63016559.436197914</v>
      </c>
      <c r="BN14" s="303">
        <v>0</v>
      </c>
      <c r="BO14" s="319">
        <f>BN14-BM14</f>
        <v>-63016559.436197914</v>
      </c>
      <c r="BP14" s="107">
        <f t="shared" si="11"/>
        <v>3</v>
      </c>
      <c r="BQ14" s="601" t="s">
        <v>371</v>
      </c>
      <c r="BR14" s="606">
        <f>'[20]3.21G'!D16</f>
        <v>18544.370000000003</v>
      </c>
      <c r="BS14" s="319">
        <f>'[20]3.21G'!E16</f>
        <v>0</v>
      </c>
      <c r="BT14" s="319">
        <f>'[20]3.21G'!F16</f>
        <v>-18544.370000000003</v>
      </c>
      <c r="BU14" s="17">
        <f t="shared" si="12"/>
        <v>3</v>
      </c>
      <c r="BV14" s="163" t="s">
        <v>168</v>
      </c>
      <c r="BX14" s="489">
        <f>'[21]4.01 G'!$D$15</f>
        <v>3.8519999999999999E-2</v>
      </c>
      <c r="BY14" s="467">
        <f>'[21]4.01 G'!$E$15</f>
        <v>3.8345999999999998E-2</v>
      </c>
      <c r="BZ14" s="241"/>
      <c r="CA14" s="17">
        <f t="shared" ref="CA14:CA17" si="14">+CA13+1</f>
        <v>2</v>
      </c>
      <c r="CB14" s="18" t="s">
        <v>1</v>
      </c>
      <c r="CC14" s="343">
        <f>+'[25]Allocated (CBR)'!C9</f>
        <v>954648954.98999989</v>
      </c>
      <c r="CD14" s="25">
        <f>+F35</f>
        <v>66278.028092253473</v>
      </c>
      <c r="CE14" s="25">
        <f>+'[22]3.02G'!$E$15</f>
        <v>4305160.22</v>
      </c>
      <c r="CF14" s="25">
        <v>0</v>
      </c>
      <c r="CG14" s="25">
        <v>0</v>
      </c>
      <c r="CH14" s="25">
        <f>-V13-V14-V16-V17-V15-V19-V21</f>
        <v>-158336143.11063597</v>
      </c>
      <c r="CI14" s="25"/>
      <c r="CJ14" s="25">
        <v>0</v>
      </c>
      <c r="CK14" s="17">
        <f t="shared" ref="CK14:CK57" si="15">+CK13+1</f>
        <v>2</v>
      </c>
      <c r="CL14" s="18" t="s">
        <v>1</v>
      </c>
      <c r="CM14" s="25"/>
      <c r="CN14" s="25"/>
      <c r="CO14" s="25">
        <v>0</v>
      </c>
      <c r="CP14" s="25">
        <v>0</v>
      </c>
      <c r="CQ14" s="25">
        <v>0</v>
      </c>
      <c r="CR14" s="25"/>
      <c r="CS14" s="343">
        <v>0</v>
      </c>
      <c r="CT14" s="343">
        <v>0</v>
      </c>
      <c r="CU14" s="343">
        <f t="shared" ref="CU14:CU17" si="16">SUM(CD14:CT14)-CK14</f>
        <v>-153964704.8625437</v>
      </c>
      <c r="CV14" s="26">
        <f>CC14+CU14</f>
        <v>800684250.12745619</v>
      </c>
      <c r="CW14" s="17">
        <f t="shared" ref="CW14:CW57" si="17">+CW13+1</f>
        <v>2</v>
      </c>
      <c r="CX14" s="18" t="s">
        <v>1</v>
      </c>
      <c r="CY14" s="25">
        <f>CC14</f>
        <v>954648954.98999989</v>
      </c>
      <c r="CZ14" s="25">
        <f>CU14</f>
        <v>-153964704.8625437</v>
      </c>
      <c r="DA14" s="65">
        <f>CY14+CZ14</f>
        <v>800684250.12745619</v>
      </c>
      <c r="DB14" s="26"/>
    </row>
    <row r="15" spans="1:118" ht="15" customHeight="1" thickBot="1" x14ac:dyDescent="0.3">
      <c r="A15" s="17">
        <f t="shared" si="0"/>
        <v>4</v>
      </c>
      <c r="B15" s="472">
        <v>43831</v>
      </c>
      <c r="C15" s="356">
        <f>+'[26]G Lead Sheet'!C16</f>
        <v>21234710.204948217</v>
      </c>
      <c r="D15" s="356">
        <f>+'[26]G Lead Sheet'!D16</f>
        <v>22050678.15554332</v>
      </c>
      <c r="E15" s="356">
        <f>D15-C15</f>
        <v>815967.9505951032</v>
      </c>
      <c r="F15" s="488"/>
      <c r="G15" s="54">
        <f t="shared" si="1"/>
        <v>4</v>
      </c>
      <c r="H15" s="411"/>
      <c r="J15" s="67">
        <f>+'[22]3.02G'!$D$14</f>
        <v>397000.86</v>
      </c>
      <c r="L15" s="107">
        <f t="shared" si="13"/>
        <v>4</v>
      </c>
      <c r="M15" s="18" t="s">
        <v>302</v>
      </c>
      <c r="N15" s="482">
        <f>'[11]Lead G'!$C$16</f>
        <v>29251997.442957297</v>
      </c>
      <c r="O15" s="17">
        <f t="shared" si="2"/>
        <v>4</v>
      </c>
      <c r="S15" s="17">
        <f t="shared" si="3"/>
        <v>4</v>
      </c>
      <c r="T15" s="373" t="s">
        <v>228</v>
      </c>
      <c r="V15" s="483">
        <f>+'[18]Lead 3.05 '!E12</f>
        <v>19024350.539999999</v>
      </c>
      <c r="W15" s="17">
        <f t="shared" si="4"/>
        <v>4</v>
      </c>
      <c r="X15" s="18"/>
      <c r="Y15" s="272"/>
      <c r="AA15" s="37"/>
      <c r="AB15" s="36">
        <f t="shared" si="5"/>
        <v>4</v>
      </c>
      <c r="AD15" s="26"/>
      <c r="AE15" s="324"/>
      <c r="AF15" s="324"/>
      <c r="AG15" s="324"/>
      <c r="AH15" s="37"/>
      <c r="AI15" s="17">
        <f t="shared" si="6"/>
        <v>4</v>
      </c>
      <c r="AJ15" s="81" t="s">
        <v>184</v>
      </c>
      <c r="AK15" s="343">
        <f>'[19] Gas'!$C$14</f>
        <v>157650.49647060691</v>
      </c>
      <c r="AL15" s="343">
        <f>'[19] Gas'!$D$14</f>
        <v>307656.67021258542</v>
      </c>
      <c r="AM15" s="83">
        <f>AL15-AK15</f>
        <v>150006.17374197851</v>
      </c>
      <c r="AN15" s="17">
        <v>4</v>
      </c>
      <c r="AQ15" s="26"/>
      <c r="AR15" s="17">
        <f t="shared" si="7"/>
        <v>4</v>
      </c>
      <c r="AS15" s="18"/>
      <c r="AT15" s="103"/>
      <c r="AU15" s="103"/>
      <c r="AV15" s="103"/>
      <c r="AW15" s="17">
        <f>AW14+1</f>
        <v>4</v>
      </c>
      <c r="AX15" s="159" t="s">
        <v>56</v>
      </c>
      <c r="AZ15" s="321">
        <f>-AZ12</f>
        <v>-80668.137876548644</v>
      </c>
      <c r="BA15" s="54">
        <f t="shared" si="8"/>
        <v>4</v>
      </c>
      <c r="BB15" s="163" t="s">
        <v>115</v>
      </c>
      <c r="BC15" s="346">
        <f>SUM(BC12:BC13)</f>
        <v>2438058.5834958102</v>
      </c>
      <c r="BD15" s="346">
        <f>SUM(BD12:BD13)</f>
        <v>2568319.8736279211</v>
      </c>
      <c r="BE15" s="346">
        <f>SUM(BE12:BE13)</f>
        <v>130261.29013211094</v>
      </c>
      <c r="BF15" s="17">
        <f t="shared" si="9"/>
        <v>4</v>
      </c>
      <c r="BG15" s="276"/>
      <c r="BH15" s="337"/>
      <c r="BI15" s="337"/>
      <c r="BJ15" s="338"/>
      <c r="BK15" s="107">
        <f t="shared" si="10"/>
        <v>4</v>
      </c>
      <c r="BL15" s="526" t="s">
        <v>339</v>
      </c>
      <c r="BM15" s="146">
        <f>'[24]3.19G'!$C$15</f>
        <v>-9824683.04666931</v>
      </c>
      <c r="BN15" s="539">
        <v>0</v>
      </c>
      <c r="BO15" s="146">
        <f>BN15-BM15</f>
        <v>9824683.04666931</v>
      </c>
      <c r="BP15" s="107">
        <f t="shared" si="11"/>
        <v>4</v>
      </c>
      <c r="BQ15" s="601" t="s">
        <v>372</v>
      </c>
      <c r="BR15" s="607">
        <f>'[20]3.21G'!D17</f>
        <v>831691.83336941712</v>
      </c>
      <c r="BS15" s="319">
        <f>'[20]3.21G'!E17</f>
        <v>0</v>
      </c>
      <c r="BT15" s="319">
        <f>'[20]3.21G'!F17</f>
        <v>-831691.83336941712</v>
      </c>
      <c r="BU15" s="17">
        <f t="shared" si="12"/>
        <v>4</v>
      </c>
      <c r="BV15" s="163"/>
      <c r="BX15" s="246"/>
      <c r="BY15" s="370"/>
      <c r="BZ15" s="247"/>
      <c r="CA15" s="17">
        <f t="shared" si="14"/>
        <v>3</v>
      </c>
      <c r="CB15" s="18" t="s">
        <v>53</v>
      </c>
      <c r="CC15" s="483"/>
      <c r="CD15" s="43"/>
      <c r="CE15" s="43"/>
      <c r="CF15" s="43"/>
      <c r="CG15" s="43"/>
      <c r="CH15" s="43"/>
      <c r="CI15" s="43"/>
      <c r="CJ15" s="43"/>
      <c r="CK15" s="17">
        <f t="shared" si="15"/>
        <v>3</v>
      </c>
      <c r="CL15" s="18" t="s">
        <v>53</v>
      </c>
      <c r="CM15" s="43"/>
      <c r="CN15" s="43"/>
      <c r="CO15" s="43"/>
      <c r="CP15" s="43"/>
      <c r="CQ15" s="43"/>
      <c r="CR15" s="43"/>
      <c r="CS15" s="483"/>
      <c r="CT15" s="483"/>
      <c r="CU15" s="483">
        <f t="shared" si="16"/>
        <v>0</v>
      </c>
      <c r="CV15" s="43">
        <f>CC15+CU15</f>
        <v>0</v>
      </c>
      <c r="CW15" s="17">
        <f t="shared" si="17"/>
        <v>3</v>
      </c>
      <c r="CX15" s="18" t="str">
        <f>CB15</f>
        <v>MUNICIPAL ADDITIONS</v>
      </c>
      <c r="CY15" s="14">
        <f>CC15</f>
        <v>0</v>
      </c>
      <c r="CZ15" s="94">
        <f>CU15</f>
        <v>0</v>
      </c>
      <c r="DA15" s="66">
        <f>+CY15+CZ15</f>
        <v>0</v>
      </c>
    </row>
    <row r="16" spans="1:118" ht="15" customHeight="1" thickTop="1" x14ac:dyDescent="0.25">
      <c r="A16" s="17">
        <f t="shared" si="0"/>
        <v>5</v>
      </c>
      <c r="B16" s="472">
        <v>43862</v>
      </c>
      <c r="C16" s="356">
        <f>+'[26]G Lead Sheet'!C17</f>
        <v>38880433.253616564</v>
      </c>
      <c r="D16" s="356">
        <f>+'[26]G Lead Sheet'!D17</f>
        <v>39018276.722160347</v>
      </c>
      <c r="E16" s="356">
        <f t="shared" ref="E16:E26" si="18">D16-C16</f>
        <v>137843.46854378283</v>
      </c>
      <c r="F16" s="488"/>
      <c r="G16" s="54">
        <f t="shared" si="1"/>
        <v>5</v>
      </c>
      <c r="H16" s="159" t="s">
        <v>148</v>
      </c>
      <c r="I16" s="159"/>
      <c r="K16" s="310">
        <f>SUM(J14:J15)</f>
        <v>4305160.22</v>
      </c>
      <c r="L16" s="107">
        <f t="shared" si="13"/>
        <v>5</v>
      </c>
      <c r="M16" s="18" t="s">
        <v>303</v>
      </c>
      <c r="N16" s="482">
        <f>'[11]Lead G'!$C$17</f>
        <v>7046852.2021699976</v>
      </c>
      <c r="O16" s="17">
        <f t="shared" si="2"/>
        <v>5</v>
      </c>
      <c r="P16" s="79" t="s">
        <v>67</v>
      </c>
      <c r="Q16" s="533">
        <f>'1.02 COC'!F17</f>
        <v>2.6699999999999998E-2</v>
      </c>
      <c r="R16" s="19" t="s">
        <v>20</v>
      </c>
      <c r="S16" s="17">
        <f t="shared" si="3"/>
        <v>5</v>
      </c>
      <c r="T16" s="373" t="s">
        <v>155</v>
      </c>
      <c r="V16" s="483">
        <f>+'[18]Lead 3.05 '!E13</f>
        <v>64029591.641323216</v>
      </c>
      <c r="W16" s="17">
        <f t="shared" si="4"/>
        <v>5</v>
      </c>
      <c r="X16" s="273" t="s">
        <v>210</v>
      </c>
      <c r="Y16" s="24"/>
      <c r="Z16" s="311">
        <f>+Z14/2</f>
        <v>671500</v>
      </c>
      <c r="AA16" s="37"/>
      <c r="AB16" s="36">
        <f t="shared" si="5"/>
        <v>5</v>
      </c>
      <c r="AC16" s="248" t="s">
        <v>245</v>
      </c>
      <c r="AD16" s="26"/>
      <c r="AE16" s="324"/>
      <c r="AF16" s="324"/>
      <c r="AG16" s="324"/>
      <c r="AH16" s="355">
        <f>ROUND(SUM(AH12:AH14)/3,6)</f>
        <v>4.5199999999999997E-3</v>
      </c>
      <c r="AI16" s="17">
        <f t="shared" si="6"/>
        <v>5</v>
      </c>
      <c r="AJ16" s="2" t="s">
        <v>52</v>
      </c>
      <c r="AK16" s="367">
        <f>SUM(AK13:AK15)</f>
        <v>1986542.5668952812</v>
      </c>
      <c r="AL16" s="367">
        <f>SUM(AL13:AL15)</f>
        <v>3876759.5729107922</v>
      </c>
      <c r="AM16" s="367">
        <f>SUM(AM13:AM15)</f>
        <v>1890217.006015511</v>
      </c>
      <c r="AN16" s="17">
        <v>5</v>
      </c>
      <c r="AO16" s="249" t="s">
        <v>82</v>
      </c>
      <c r="AP16" s="250"/>
      <c r="AQ16" s="26">
        <f>'[13]Lead G'!$D$13</f>
        <v>1909247.9099799998</v>
      </c>
      <c r="AR16" s="17">
        <f t="shared" si="7"/>
        <v>5</v>
      </c>
      <c r="AS16" s="18" t="s">
        <v>96</v>
      </c>
      <c r="AT16" s="103"/>
      <c r="AU16" s="103"/>
      <c r="AV16" s="66">
        <f>-AV14</f>
        <v>13606.903331575348</v>
      </c>
      <c r="AW16" s="251"/>
      <c r="BA16" s="54">
        <f t="shared" si="8"/>
        <v>5</v>
      </c>
      <c r="BB16" s="159"/>
      <c r="BC16" s="344"/>
      <c r="BD16" s="344"/>
      <c r="BE16" s="344"/>
      <c r="BF16" s="17">
        <f t="shared" si="9"/>
        <v>5</v>
      </c>
      <c r="BG16" s="131" t="s">
        <v>218</v>
      </c>
      <c r="BH16" s="337"/>
      <c r="BI16" s="337"/>
      <c r="BJ16" s="334">
        <f>BJ14</f>
        <v>-233710.15422121563</v>
      </c>
      <c r="BK16" s="107">
        <f t="shared" si="10"/>
        <v>5</v>
      </c>
      <c r="BL16" s="527" t="s">
        <v>340</v>
      </c>
      <c r="BM16" s="538">
        <f>'[24]3.19G'!$C$16</f>
        <v>-3352943.6268749987</v>
      </c>
      <c r="BN16" s="540">
        <v>0</v>
      </c>
      <c r="BO16" s="538">
        <f>BN16-BM16</f>
        <v>3352943.6268749987</v>
      </c>
      <c r="BP16" s="107">
        <f t="shared" si="11"/>
        <v>5</v>
      </c>
      <c r="BQ16" s="602" t="s">
        <v>377</v>
      </c>
      <c r="BR16" s="608">
        <f>'[20]3.21G'!D18</f>
        <v>-178664.25850757759</v>
      </c>
      <c r="BS16" s="308">
        <f>'[20]3.21G'!E18</f>
        <v>0</v>
      </c>
      <c r="BT16" s="308">
        <f>'[20]3.21G'!F18</f>
        <v>178664.25850757759</v>
      </c>
      <c r="BU16" s="17">
        <f>+BU15+1</f>
        <v>5</v>
      </c>
      <c r="BV16" s="163" t="s">
        <v>167</v>
      </c>
      <c r="BX16" s="246"/>
      <c r="BY16" s="240">
        <f>SUM(BY12:BY14)</f>
        <v>4.4865999999999996E-2</v>
      </c>
      <c r="BZ16" s="241"/>
      <c r="CA16" s="17">
        <f>+CA15+1</f>
        <v>4</v>
      </c>
      <c r="CB16" s="18" t="s">
        <v>2</v>
      </c>
      <c r="CC16" s="483">
        <f>+'[25]Allocated (CBR)'!C12</f>
        <v>26264386.190000001</v>
      </c>
      <c r="CD16" s="43"/>
      <c r="CE16" s="43">
        <f>K25</f>
        <v>-1.03</v>
      </c>
      <c r="CF16" s="43"/>
      <c r="CG16" s="37"/>
      <c r="CH16" s="43">
        <f>-V18-V20-V22</f>
        <v>6774867.8600000003</v>
      </c>
      <c r="CI16" s="43"/>
      <c r="CJ16" s="44"/>
      <c r="CK16" s="17">
        <f>+CK15+1</f>
        <v>4</v>
      </c>
      <c r="CL16" s="18" t="s">
        <v>2</v>
      </c>
      <c r="CM16" s="44"/>
      <c r="CN16" s="44"/>
      <c r="CO16" s="44"/>
      <c r="CP16" s="44"/>
      <c r="CQ16" s="44"/>
      <c r="CR16" s="44"/>
      <c r="CS16" s="309"/>
      <c r="CT16" s="309"/>
      <c r="CU16" s="309">
        <f t="shared" si="16"/>
        <v>6774866.8300000001</v>
      </c>
      <c r="CV16" s="44">
        <f>CC16+CU16</f>
        <v>33039253.020000003</v>
      </c>
      <c r="CW16" s="17">
        <f>+CW15+1</f>
        <v>4</v>
      </c>
      <c r="CX16" s="18" t="s">
        <v>2</v>
      </c>
      <c r="CY16" s="83">
        <f>CC16</f>
        <v>26264386.190000001</v>
      </c>
      <c r="CZ16" s="95">
        <f>CU16</f>
        <v>6774866.8300000001</v>
      </c>
      <c r="DA16" s="67">
        <f>+CY16+CZ16</f>
        <v>33039253.020000003</v>
      </c>
      <c r="DB16" s="26"/>
    </row>
    <row r="17" spans="1:118" ht="15" customHeight="1" x14ac:dyDescent="0.25">
      <c r="A17" s="17">
        <f t="shared" si="0"/>
        <v>6</v>
      </c>
      <c r="B17" s="472">
        <v>43891</v>
      </c>
      <c r="C17" s="356">
        <f>+'[26]G Lead Sheet'!C18</f>
        <v>3468428.6282654516</v>
      </c>
      <c r="D17" s="356">
        <f>+'[26]G Lead Sheet'!D18</f>
        <v>2955124.7074599657</v>
      </c>
      <c r="E17" s="356">
        <f t="shared" si="18"/>
        <v>-513303.92080548592</v>
      </c>
      <c r="F17" s="488"/>
      <c r="G17" s="54">
        <f t="shared" si="1"/>
        <v>6</v>
      </c>
      <c r="H17" s="159"/>
      <c r="I17" s="159"/>
      <c r="K17" s="310"/>
      <c r="L17" s="107">
        <f t="shared" si="13"/>
        <v>6</v>
      </c>
      <c r="M17" s="2" t="s">
        <v>304</v>
      </c>
      <c r="N17" s="482">
        <f>'[11]Lead G'!$C$18</f>
        <v>0</v>
      </c>
      <c r="O17" s="17">
        <f t="shared" si="2"/>
        <v>6</v>
      </c>
      <c r="P17" s="79" t="s">
        <v>41</v>
      </c>
      <c r="Q17" s="37"/>
      <c r="R17" s="145">
        <f>+Q14*Q16</f>
        <v>61439572.016023792</v>
      </c>
      <c r="S17" s="17">
        <f t="shared" si="3"/>
        <v>6</v>
      </c>
      <c r="T17" s="373" t="s">
        <v>221</v>
      </c>
      <c r="V17" s="483">
        <f>+'[18]Lead 3.05 '!E14</f>
        <v>627136.91</v>
      </c>
      <c r="W17" s="17">
        <f t="shared" si="4"/>
        <v>6</v>
      </c>
      <c r="X17" s="274" t="s">
        <v>211</v>
      </c>
      <c r="Y17" s="1"/>
      <c r="Z17" s="49">
        <f>'[23]Lead G'!$D$18</f>
        <v>467220.50100000005</v>
      </c>
      <c r="AA17" s="37"/>
      <c r="AB17" s="36">
        <f t="shared" si="5"/>
        <v>6</v>
      </c>
      <c r="AE17" s="31"/>
      <c r="AI17" s="17">
        <f t="shared" si="6"/>
        <v>6</v>
      </c>
      <c r="AJ17" s="2"/>
      <c r="AK17" s="43"/>
      <c r="AL17" s="43"/>
      <c r="AM17" s="301"/>
      <c r="AN17" s="17">
        <v>6</v>
      </c>
      <c r="AO17" s="48" t="s">
        <v>79</v>
      </c>
      <c r="AP17" s="48"/>
      <c r="AQ17" s="414">
        <f>'[13]Lead G'!$C$13</f>
        <v>1939143</v>
      </c>
      <c r="AR17" s="17">
        <f t="shared" si="7"/>
        <v>6</v>
      </c>
      <c r="AS17" s="18"/>
      <c r="AT17" s="103"/>
      <c r="AU17" s="103"/>
      <c r="AV17" s="66"/>
      <c r="AW17" s="161"/>
      <c r="AX17" s="161"/>
      <c r="AY17" s="161"/>
      <c r="AZ17" s="161"/>
      <c r="BA17" s="54">
        <f t="shared" si="8"/>
        <v>6</v>
      </c>
      <c r="BB17" s="164" t="s">
        <v>116</v>
      </c>
      <c r="BC17" s="134"/>
      <c r="BD17" s="146"/>
      <c r="BE17" s="347">
        <f>-BE15</f>
        <v>-130261.29013211094</v>
      </c>
      <c r="BF17" s="17">
        <f t="shared" si="9"/>
        <v>6</v>
      </c>
      <c r="BG17" s="142" t="s">
        <v>97</v>
      </c>
      <c r="BH17" s="14"/>
      <c r="BI17" s="348">
        <f>FIT</f>
        <v>0.21</v>
      </c>
      <c r="BJ17" s="339">
        <f>ROUND(-BJ16*BI17,0)</f>
        <v>49079</v>
      </c>
      <c r="BK17" s="107">
        <f t="shared" si="10"/>
        <v>6</v>
      </c>
      <c r="BL17" s="373" t="s">
        <v>341</v>
      </c>
      <c r="BM17" s="319">
        <f>SUM(BM14:BM16)</f>
        <v>49838932.762653604</v>
      </c>
      <c r="BN17" s="319">
        <f>SUM(BN14:BN16)</f>
        <v>0</v>
      </c>
      <c r="BO17" s="319">
        <f>SUM(BO14:BO16)</f>
        <v>-49838932.762653604</v>
      </c>
      <c r="BP17" s="107">
        <f t="shared" si="11"/>
        <v>6</v>
      </c>
      <c r="BQ17" s="602" t="s">
        <v>56</v>
      </c>
      <c r="BR17" s="343">
        <f>SUM(BR13:BR16)</f>
        <v>672117.92486183951</v>
      </c>
      <c r="BS17" s="343">
        <f t="shared" ref="BS17:BT17" si="19">SUM(BS13:BS16)</f>
        <v>0</v>
      </c>
      <c r="BT17" s="343">
        <f t="shared" si="19"/>
        <v>-672117.92486183951</v>
      </c>
      <c r="BU17" s="17">
        <f t="shared" si="12"/>
        <v>6</v>
      </c>
      <c r="BV17" s="159"/>
      <c r="BW17" s="252"/>
      <c r="BX17" s="246"/>
      <c r="BY17" s="241"/>
      <c r="BZ17" s="241"/>
      <c r="CA17" s="17">
        <f t="shared" si="14"/>
        <v>5</v>
      </c>
      <c r="CB17" s="18" t="s">
        <v>3</v>
      </c>
      <c r="CC17" s="41">
        <f t="shared" ref="CC17:CH17" si="20">SUM(CC14:CC16)</f>
        <v>980913341.17999995</v>
      </c>
      <c r="CD17" s="41">
        <f t="shared" si="20"/>
        <v>66278.028092253473</v>
      </c>
      <c r="CE17" s="41">
        <f t="shared" si="20"/>
        <v>4305159.1899999995</v>
      </c>
      <c r="CF17" s="41">
        <f t="shared" si="20"/>
        <v>0</v>
      </c>
      <c r="CG17" s="41">
        <f t="shared" si="20"/>
        <v>0</v>
      </c>
      <c r="CH17" s="41">
        <f t="shared" si="20"/>
        <v>-151561275.25063595</v>
      </c>
      <c r="CI17" s="41"/>
      <c r="CJ17" s="41">
        <f>SUM(CJ14:CJ16)</f>
        <v>0</v>
      </c>
      <c r="CK17" s="17">
        <f t="shared" si="15"/>
        <v>5</v>
      </c>
      <c r="CL17" s="18" t="s">
        <v>3</v>
      </c>
      <c r="CM17" s="41">
        <f t="shared" ref="CM17:CT17" si="21">SUM(CM14:CM16)</f>
        <v>0</v>
      </c>
      <c r="CN17" s="41">
        <f t="shared" si="21"/>
        <v>0</v>
      </c>
      <c r="CO17" s="41">
        <f t="shared" si="21"/>
        <v>0</v>
      </c>
      <c r="CP17" s="41">
        <f t="shared" si="21"/>
        <v>0</v>
      </c>
      <c r="CQ17" s="41">
        <f t="shared" si="21"/>
        <v>0</v>
      </c>
      <c r="CR17" s="41">
        <f t="shared" si="21"/>
        <v>0</v>
      </c>
      <c r="CS17" s="41">
        <f t="shared" si="21"/>
        <v>0</v>
      </c>
      <c r="CT17" s="41">
        <f t="shared" si="21"/>
        <v>0</v>
      </c>
      <c r="CU17" s="41">
        <f t="shared" si="16"/>
        <v>-147189838.03254369</v>
      </c>
      <c r="CV17" s="26">
        <f>CC17+CU17</f>
        <v>833723503.14745629</v>
      </c>
      <c r="CW17" s="17">
        <f t="shared" si="17"/>
        <v>5</v>
      </c>
      <c r="CX17" s="18" t="s">
        <v>3</v>
      </c>
      <c r="CY17" s="25">
        <f>SUM(CY14:CY16)</f>
        <v>980913341.17999995</v>
      </c>
      <c r="CZ17" s="25">
        <f>SUM(CZ14:CZ16)</f>
        <v>-147189838.03254369</v>
      </c>
      <c r="DA17" s="41">
        <f>SUM(DA14:DA16)</f>
        <v>833723503.14745617</v>
      </c>
      <c r="DB17" s="26"/>
    </row>
    <row r="18" spans="1:118" ht="15" customHeight="1" x14ac:dyDescent="0.25">
      <c r="A18" s="17">
        <f t="shared" si="0"/>
        <v>7</v>
      </c>
      <c r="B18" s="472">
        <v>43922</v>
      </c>
      <c r="C18" s="356">
        <f>+'[26]G Lead Sheet'!C19</f>
        <v>16712191.635991409</v>
      </c>
      <c r="D18" s="356">
        <f>+'[26]G Lead Sheet'!D19</f>
        <v>17088049.517488074</v>
      </c>
      <c r="E18" s="356">
        <f t="shared" si="18"/>
        <v>375857.88149666414</v>
      </c>
      <c r="F18" s="488"/>
      <c r="G18" s="54">
        <f t="shared" si="1"/>
        <v>7</v>
      </c>
      <c r="H18" s="18" t="s">
        <v>224</v>
      </c>
      <c r="I18" s="159"/>
      <c r="K18" s="310"/>
      <c r="L18" s="107">
        <f t="shared" si="13"/>
        <v>7</v>
      </c>
      <c r="M18" s="2" t="s">
        <v>305</v>
      </c>
      <c r="N18" s="482">
        <f>'[11]Lead G'!$C$19</f>
        <v>0</v>
      </c>
      <c r="O18" s="17">
        <f t="shared" si="2"/>
        <v>7</v>
      </c>
      <c r="P18" s="79"/>
      <c r="Q18" s="331"/>
      <c r="R18" s="19" t="s">
        <v>20</v>
      </c>
      <c r="S18" s="17">
        <f t="shared" si="3"/>
        <v>7</v>
      </c>
      <c r="T18" s="373" t="s">
        <v>222</v>
      </c>
      <c r="V18" s="483">
        <f>+'[18]Lead 3.05 '!E15</f>
        <v>-548734.71999999997</v>
      </c>
      <c r="W18" s="17">
        <f t="shared" si="4"/>
        <v>7</v>
      </c>
      <c r="X18" s="18" t="s">
        <v>51</v>
      </c>
      <c r="Y18" s="60"/>
      <c r="Z18" s="312">
        <f>+Z16-Z17</f>
        <v>204279.49899999995</v>
      </c>
      <c r="AA18" s="313">
        <f>+Z18</f>
        <v>204279.49899999995</v>
      </c>
      <c r="AB18" s="36">
        <f t="shared" si="5"/>
        <v>7</v>
      </c>
      <c r="AC18" s="253" t="s">
        <v>246</v>
      </c>
      <c r="AD18" s="26"/>
      <c r="AE18" s="343">
        <f>'[12]Lead Sheet'!D20</f>
        <v>980913341.17999995</v>
      </c>
      <c r="AF18" s="343">
        <f>'[12]Lead Sheet'!E20</f>
        <v>26264386.190000001</v>
      </c>
      <c r="AG18" s="343">
        <f>'[12]Lead Sheet'!F20</f>
        <v>954648954.98999989</v>
      </c>
      <c r="AI18" s="17">
        <f t="shared" si="6"/>
        <v>7</v>
      </c>
      <c r="AJ18" s="2" t="s">
        <v>185</v>
      </c>
      <c r="AK18" s="43"/>
      <c r="AL18" s="43"/>
      <c r="AM18" s="301">
        <f>AM16</f>
        <v>1890217.006015511</v>
      </c>
      <c r="AN18" s="17">
        <v>7</v>
      </c>
      <c r="AO18" s="254" t="s">
        <v>81</v>
      </c>
      <c r="AP18" s="254"/>
      <c r="AQ18" s="319">
        <f>AQ16-AQ17</f>
        <v>-29895.090020000236</v>
      </c>
      <c r="AR18" s="17">
        <f t="shared" si="7"/>
        <v>7</v>
      </c>
      <c r="AS18" s="18" t="s">
        <v>97</v>
      </c>
      <c r="AT18" s="103"/>
      <c r="AU18" s="144">
        <f>FIT</f>
        <v>0.21</v>
      </c>
      <c r="AV18" s="326">
        <f>AV16*AU18</f>
        <v>2857.449699630823</v>
      </c>
      <c r="BA18" s="54">
        <f t="shared" si="8"/>
        <v>7</v>
      </c>
      <c r="BB18" s="165" t="s">
        <v>97</v>
      </c>
      <c r="BC18" s="165"/>
      <c r="BD18" s="348">
        <f>FIT</f>
        <v>0.21</v>
      </c>
      <c r="BE18" s="349">
        <f>BE17*BD18</f>
        <v>-27354.870927743297</v>
      </c>
      <c r="BF18" s="17">
        <f t="shared" si="9"/>
        <v>7</v>
      </c>
      <c r="BG18" s="2"/>
      <c r="BH18" s="43"/>
      <c r="BI18" s="43"/>
      <c r="BJ18" s="340"/>
      <c r="BK18"/>
      <c r="BL18"/>
      <c r="BM18"/>
      <c r="BN18"/>
      <c r="BO18"/>
      <c r="BP18" s="17">
        <f>+BU17+1</f>
        <v>7</v>
      </c>
      <c r="BQ18" s="602"/>
      <c r="BR18" s="343"/>
      <c r="BS18" s="343"/>
      <c r="BT18" s="603"/>
      <c r="BU18" s="107">
        <f t="shared" ref="BU18" si="22">+BU17+1</f>
        <v>7</v>
      </c>
      <c r="BV18" s="528" t="s">
        <v>291</v>
      </c>
      <c r="BY18" s="530">
        <f>ROUND(1-BY16,6)</f>
        <v>0.95513400000000004</v>
      </c>
      <c r="CA18" s="107">
        <f t="shared" ref="CA18" si="23">+CA17+1</f>
        <v>6</v>
      </c>
      <c r="CE18" s="19"/>
      <c r="CF18" s="17"/>
      <c r="CH18" s="19"/>
      <c r="CJ18" s="19"/>
      <c r="CK18" s="19"/>
      <c r="CL18" s="19"/>
      <c r="CM18" s="19"/>
      <c r="CN18" s="377"/>
      <c r="CO18" s="377"/>
      <c r="CP18" s="377"/>
      <c r="CQ18" s="23"/>
      <c r="CR18" s="17"/>
      <c r="CS18" s="2"/>
      <c r="CT18" s="2"/>
      <c r="CU18" s="2"/>
      <c r="CX18"/>
      <c r="CY18"/>
      <c r="CZ18"/>
      <c r="DA18"/>
      <c r="DB18"/>
      <c r="DJ18" s="2"/>
      <c r="DK18" s="2"/>
      <c r="DL18" s="2"/>
      <c r="DM18" s="2"/>
      <c r="DN18" s="2"/>
    </row>
    <row r="19" spans="1:118" ht="15" customHeight="1" thickBot="1" x14ac:dyDescent="0.3">
      <c r="A19" s="17">
        <f t="shared" si="0"/>
        <v>8</v>
      </c>
      <c r="B19" s="472">
        <v>43952</v>
      </c>
      <c r="C19" s="356">
        <f>+'[26]G Lead Sheet'!C20</f>
        <v>16996371.039634638</v>
      </c>
      <c r="D19" s="356">
        <f>+'[26]G Lead Sheet'!D20</f>
        <v>17351147.126015082</v>
      </c>
      <c r="E19" s="356">
        <f t="shared" si="18"/>
        <v>354776.08638044447</v>
      </c>
      <c r="F19" s="488"/>
      <c r="G19" s="54">
        <f t="shared" si="1"/>
        <v>8</v>
      </c>
      <c r="H19" s="279"/>
      <c r="I19" s="159"/>
      <c r="J19" s="26"/>
      <c r="K19" s="310"/>
      <c r="L19" s="107">
        <f t="shared" si="13"/>
        <v>8</v>
      </c>
      <c r="M19" s="2" t="s">
        <v>306</v>
      </c>
      <c r="N19" s="486">
        <f>SUM(N15:N18)</f>
        <v>36298849.645127296</v>
      </c>
      <c r="O19" s="17">
        <f t="shared" si="2"/>
        <v>8</v>
      </c>
      <c r="Q19" s="331"/>
      <c r="R19" s="19"/>
      <c r="S19" s="17">
        <f t="shared" si="3"/>
        <v>8</v>
      </c>
      <c r="T19" s="375" t="s">
        <v>243</v>
      </c>
      <c r="U19"/>
      <c r="V19" s="483">
        <f>+'[18]Lead 3.05 '!E16</f>
        <v>6786894.1693127574</v>
      </c>
      <c r="W19" s="17">
        <f t="shared" si="4"/>
        <v>8</v>
      </c>
      <c r="X19" s="18"/>
      <c r="Y19" s="60"/>
      <c r="Z19" s="314"/>
      <c r="AA19" s="315"/>
      <c r="AB19" s="36">
        <f t="shared" si="5"/>
        <v>8</v>
      </c>
      <c r="AE19" s="343"/>
      <c r="AF19" s="343"/>
      <c r="AG19" s="309"/>
      <c r="AI19" s="17">
        <f t="shared" si="6"/>
        <v>8</v>
      </c>
      <c r="AJ19" s="2"/>
      <c r="AK19" s="2"/>
      <c r="AL19" s="2"/>
      <c r="AM19" s="2"/>
      <c r="AN19" s="17">
        <v>8</v>
      </c>
      <c r="AQ19" s="26"/>
      <c r="AR19" s="17">
        <f t="shared" si="7"/>
        <v>8</v>
      </c>
      <c r="AS19" s="18"/>
      <c r="AT19" s="103"/>
      <c r="AU19" s="144"/>
      <c r="AV19" s="326"/>
      <c r="BA19" s="54">
        <f t="shared" si="8"/>
        <v>8</v>
      </c>
      <c r="BB19" s="193"/>
      <c r="BC19" s="193"/>
      <c r="BD19" s="193"/>
      <c r="BE19" s="193"/>
      <c r="BF19" s="17">
        <f t="shared" si="9"/>
        <v>8</v>
      </c>
      <c r="BG19" s="24" t="s">
        <v>56</v>
      </c>
      <c r="BH19" s="341"/>
      <c r="BI19" s="37"/>
      <c r="BJ19" s="342">
        <f>-BJ16-BJ17</f>
        <v>184631.15422121563</v>
      </c>
      <c r="BK19"/>
      <c r="BL19"/>
      <c r="BM19"/>
      <c r="BN19"/>
      <c r="BO19"/>
      <c r="BP19" s="17">
        <f t="shared" si="12"/>
        <v>8</v>
      </c>
      <c r="BQ19" s="601" t="s">
        <v>63</v>
      </c>
      <c r="BR19" s="343"/>
      <c r="BS19" s="604"/>
      <c r="BT19" s="603"/>
      <c r="BU19" s="107">
        <f t="shared" ref="BU19" si="24">+BU18+1</f>
        <v>8</v>
      </c>
      <c r="BV19" s="529" t="s">
        <v>292</v>
      </c>
      <c r="BX19" s="532">
        <v>0.21</v>
      </c>
      <c r="BY19" s="530">
        <f>ROUND((BY18)*BX19,6)</f>
        <v>0.20057800000000001</v>
      </c>
      <c r="BZ19" s="295"/>
      <c r="CA19" s="107">
        <f t="shared" ref="CA19" si="25">+CA18+1</f>
        <v>7</v>
      </c>
      <c r="CB19" s="295" t="s">
        <v>20</v>
      </c>
      <c r="CC19" s="295"/>
      <c r="CD19" s="295"/>
      <c r="CE19" s="295" t="s">
        <v>20</v>
      </c>
      <c r="CF19" s="17"/>
      <c r="CH19" s="295"/>
      <c r="CI19" s="295"/>
      <c r="CJ19" s="295"/>
      <c r="CK19" s="295"/>
      <c r="CL19" s="295"/>
      <c r="CM19" s="295"/>
      <c r="CN19" s="295"/>
      <c r="CO19" s="295"/>
      <c r="CP19" s="295"/>
      <c r="CQ19" s="23"/>
      <c r="CR19" s="17"/>
      <c r="CS19" s="2"/>
      <c r="CT19" s="23"/>
      <c r="CU19" s="23"/>
      <c r="CV19" s="23"/>
      <c r="CW19" s="351"/>
      <c r="CX19"/>
      <c r="CY19"/>
      <c r="CZ19"/>
      <c r="DA19"/>
      <c r="DB19"/>
      <c r="DJ19" s="2"/>
      <c r="DK19" s="2"/>
      <c r="DL19" s="2"/>
      <c r="DM19" s="2"/>
      <c r="DN19" s="2"/>
    </row>
    <row r="20" spans="1:118" ht="15" customHeight="1" thickTop="1" thickBot="1" x14ac:dyDescent="0.3">
      <c r="A20" s="17">
        <f t="shared" si="0"/>
        <v>9</v>
      </c>
      <c r="B20" s="472">
        <v>43983</v>
      </c>
      <c r="C20" s="356">
        <f>+'[26]G Lead Sheet'!C21</f>
        <v>19602623.218116555</v>
      </c>
      <c r="D20" s="356">
        <f>+'[26]G Lead Sheet'!D21</f>
        <v>19669390.598120369</v>
      </c>
      <c r="E20" s="356">
        <f t="shared" si="18"/>
        <v>66767.380003813654</v>
      </c>
      <c r="F20" s="488"/>
      <c r="G20" s="54">
        <f t="shared" si="1"/>
        <v>9</v>
      </c>
      <c r="H20" s="279" t="s">
        <v>254</v>
      </c>
      <c r="I20" s="374"/>
      <c r="J20" s="535">
        <f>+'[22]3.02G'!$D$19</f>
        <v>-1.03</v>
      </c>
      <c r="K20" s="310"/>
      <c r="L20" s="107">
        <f t="shared" si="13"/>
        <v>9</v>
      </c>
      <c r="N20" s="483"/>
      <c r="O20" s="17">
        <f t="shared" si="2"/>
        <v>9</v>
      </c>
      <c r="P20" s="79"/>
      <c r="Q20" s="331"/>
      <c r="R20" s="19"/>
      <c r="S20" s="17">
        <f t="shared" si="3"/>
        <v>9</v>
      </c>
      <c r="T20" s="375" t="s">
        <v>244</v>
      </c>
      <c r="U20"/>
      <c r="V20" s="483">
        <f>+'[18]Lead 3.05 '!E17</f>
        <v>-6478450.1900000004</v>
      </c>
      <c r="W20" s="17">
        <f t="shared" si="4"/>
        <v>9</v>
      </c>
      <c r="X20" s="18"/>
      <c r="Y20" s="1"/>
      <c r="Z20" s="228"/>
      <c r="AA20" s="37"/>
      <c r="AB20" s="36">
        <f t="shared" si="5"/>
        <v>9</v>
      </c>
      <c r="AG20" s="306">
        <f>SUM(AG18:AG19)</f>
        <v>954648954.98999989</v>
      </c>
      <c r="AI20" s="17">
        <f t="shared" si="6"/>
        <v>9</v>
      </c>
      <c r="AJ20" s="18" t="s">
        <v>186</v>
      </c>
      <c r="AK20" s="43"/>
      <c r="AL20" s="348">
        <f>FIT</f>
        <v>0.21</v>
      </c>
      <c r="AM20" s="301">
        <f>ROUND(-AM18*AL20,0)</f>
        <v>-396946</v>
      </c>
      <c r="AN20" s="17">
        <v>9</v>
      </c>
      <c r="AO20" s="81" t="s">
        <v>52</v>
      </c>
      <c r="AQ20" s="26">
        <f>AQ14+AQ18</f>
        <v>-31101.566019996302</v>
      </c>
      <c r="AR20" s="17">
        <f t="shared" si="7"/>
        <v>9</v>
      </c>
      <c r="AS20" s="18" t="s">
        <v>56</v>
      </c>
      <c r="AT20" s="103"/>
      <c r="AU20" s="103"/>
      <c r="AV20" s="327">
        <f>AV16-AV18</f>
        <v>10749.453631944525</v>
      </c>
      <c r="BA20" s="54">
        <f t="shared" si="8"/>
        <v>9</v>
      </c>
      <c r="BB20" s="163" t="s">
        <v>56</v>
      </c>
      <c r="BC20" s="154"/>
      <c r="BD20" s="154"/>
      <c r="BE20" s="350">
        <f>BE17-BE18</f>
        <v>-102906.41920436764</v>
      </c>
      <c r="BF20" s="275"/>
      <c r="BG20" s="275"/>
      <c r="BH20" s="275"/>
      <c r="BI20" s="275"/>
      <c r="BJ20" s="275"/>
      <c r="BK20"/>
      <c r="BL20"/>
      <c r="BM20"/>
      <c r="BN20"/>
      <c r="BO20"/>
      <c r="BP20" s="17">
        <f t="shared" si="12"/>
        <v>9</v>
      </c>
      <c r="BQ20" s="601" t="s">
        <v>373</v>
      </c>
      <c r="BR20" s="343">
        <f>'[20]3.21G'!D22</f>
        <v>34130739.618749999</v>
      </c>
      <c r="BS20" s="319">
        <f>'[20]3.21G'!E22</f>
        <v>0</v>
      </c>
      <c r="BT20" s="319">
        <f>'[20]3.21G'!F22</f>
        <v>-34130739.618749999</v>
      </c>
      <c r="BU20" s="107">
        <f t="shared" ref="BU20" si="26">+BU19+1</f>
        <v>9</v>
      </c>
      <c r="BV20" s="529" t="s">
        <v>342</v>
      </c>
      <c r="BW20" s="18" t="s">
        <v>4</v>
      </c>
      <c r="BX20" s="57"/>
      <c r="BY20" s="531">
        <f>ROUND(1-BY19-BY16,6)</f>
        <v>0.754556</v>
      </c>
      <c r="BZ20" s="23"/>
      <c r="CA20" s="107">
        <f t="shared" ref="CA20" si="27">+CA19+1</f>
        <v>8</v>
      </c>
      <c r="CB20" s="23"/>
      <c r="CC20" s="23"/>
      <c r="CD20" s="23"/>
      <c r="CE20" s="23"/>
      <c r="CF20" s="17"/>
      <c r="CG20" s="18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17"/>
      <c r="CS20" s="81"/>
      <c r="CT20" s="23"/>
      <c r="CU20" s="23"/>
      <c r="CV20" s="23"/>
      <c r="CX20"/>
      <c r="CY20"/>
      <c r="CZ20"/>
      <c r="DA20"/>
      <c r="DB20"/>
      <c r="DJ20" s="2"/>
      <c r="DK20" s="2"/>
      <c r="DL20" s="2"/>
      <c r="DM20" s="2"/>
      <c r="DN20" s="2"/>
    </row>
    <row r="21" spans="1:118" ht="15" customHeight="1" thickTop="1" thickBot="1" x14ac:dyDescent="0.3">
      <c r="A21" s="17">
        <f t="shared" si="0"/>
        <v>10</v>
      </c>
      <c r="B21" s="472">
        <v>44013</v>
      </c>
      <c r="C21" s="356">
        <f>+'[26]G Lead Sheet'!C22</f>
        <v>14644069.905900959</v>
      </c>
      <c r="D21" s="356">
        <f>+'[26]G Lead Sheet'!D22</f>
        <v>14644069.905900959</v>
      </c>
      <c r="E21" s="356">
        <f t="shared" si="18"/>
        <v>0</v>
      </c>
      <c r="F21" s="488"/>
      <c r="G21" s="54">
        <f t="shared" si="1"/>
        <v>10</v>
      </c>
      <c r="H21" s="411"/>
      <c r="I21" s="159"/>
      <c r="J21" s="43"/>
      <c r="K21" s="310"/>
      <c r="L21" s="107">
        <f t="shared" si="13"/>
        <v>10</v>
      </c>
      <c r="M21" s="2" t="s">
        <v>307</v>
      </c>
      <c r="N21" s="481"/>
      <c r="O21" s="17">
        <f t="shared" si="2"/>
        <v>10</v>
      </c>
      <c r="P21" s="2" t="s">
        <v>116</v>
      </c>
      <c r="Q21" s="37"/>
      <c r="R21" s="298">
        <f>-R17+R19</f>
        <v>-61439572.016023792</v>
      </c>
      <c r="S21" s="17">
        <f t="shared" si="3"/>
        <v>10</v>
      </c>
      <c r="T21" s="373" t="s">
        <v>219</v>
      </c>
      <c r="U21"/>
      <c r="V21" s="483">
        <f>+'[18]Lead 3.05 '!E18</f>
        <v>44480264.130000003</v>
      </c>
      <c r="W21" s="17">
        <f t="shared" si="4"/>
        <v>10</v>
      </c>
      <c r="X21" s="18" t="s">
        <v>109</v>
      </c>
      <c r="Y21" s="1"/>
      <c r="Z21" s="37"/>
      <c r="AA21" s="298">
        <f>+AA18</f>
        <v>204279.49899999995</v>
      </c>
      <c r="AB21" s="36">
        <f t="shared" si="5"/>
        <v>10</v>
      </c>
      <c r="AC21" s="2" t="s">
        <v>255</v>
      </c>
      <c r="AG21" s="512">
        <f>AH16</f>
        <v>4.5199999999999997E-3</v>
      </c>
      <c r="AI21" s="17">
        <f t="shared" si="6"/>
        <v>10</v>
      </c>
      <c r="AJ21" s="18" t="s">
        <v>55</v>
      </c>
      <c r="AK21" s="18"/>
      <c r="AL21" s="2"/>
      <c r="AM21" s="368">
        <f>-AM18-AM20</f>
        <v>-1493271.006015511</v>
      </c>
      <c r="AN21" s="17">
        <v>10</v>
      </c>
      <c r="AQ21" s="26"/>
      <c r="AR21" s="17"/>
      <c r="AS21" s="18"/>
      <c r="AT21" s="103"/>
      <c r="AU21" s="103"/>
      <c r="AV21" s="148"/>
      <c r="BA21" s="54"/>
      <c r="BB21" s="159"/>
      <c r="BC21" s="159"/>
      <c r="BD21" s="159"/>
      <c r="BE21" s="159"/>
      <c r="BF21" s="148"/>
      <c r="BG21" s="148"/>
      <c r="BH21" s="148"/>
      <c r="BI21" s="148"/>
      <c r="BJ21" s="148"/>
      <c r="BK21" s="303"/>
      <c r="BL21" s="303"/>
      <c r="BM21" s="303"/>
      <c r="BN21" s="303"/>
      <c r="BO21" s="303"/>
      <c r="BP21" s="107">
        <f t="shared" ref="BP21" si="28">+BP20+1</f>
        <v>10</v>
      </c>
      <c r="BQ21" s="601" t="s">
        <v>374</v>
      </c>
      <c r="BR21" s="606">
        <f>'[20]3.21G'!D23</f>
        <v>-2736033.3935930612</v>
      </c>
      <c r="BS21" s="319">
        <f>'[20]3.21G'!E23</f>
        <v>0</v>
      </c>
      <c r="BT21" s="319">
        <f>'[20]3.21G'!F23</f>
        <v>2736033.3935930612</v>
      </c>
      <c r="BU21" s="17"/>
      <c r="BW21" s="255"/>
      <c r="BX21" s="255"/>
      <c r="CA21" s="107">
        <f>+CA20+1</f>
        <v>9</v>
      </c>
      <c r="CK21" s="17">
        <f>+CF20+1</f>
        <v>1</v>
      </c>
      <c r="CV21" s="23"/>
      <c r="CW21" s="17">
        <f>+CR20+1</f>
        <v>1</v>
      </c>
      <c r="CY21" s="23"/>
      <c r="CZ21" s="23"/>
      <c r="DA21" s="23"/>
    </row>
    <row r="22" spans="1:118" ht="15" customHeight="1" thickTop="1" x14ac:dyDescent="0.25">
      <c r="A22" s="17">
        <f t="shared" si="0"/>
        <v>11</v>
      </c>
      <c r="B22" s="472">
        <v>44044</v>
      </c>
      <c r="C22" s="356">
        <f>+'[26]G Lead Sheet'!C23</f>
        <v>18780791.609814785</v>
      </c>
      <c r="D22" s="356">
        <f>+'[26]G Lead Sheet'!D23</f>
        <v>18780791.609814785</v>
      </c>
      <c r="E22" s="356">
        <f t="shared" si="18"/>
        <v>0</v>
      </c>
      <c r="F22" s="488"/>
      <c r="G22" s="54">
        <f t="shared" si="1"/>
        <v>11</v>
      </c>
      <c r="H22" s="411" t="s">
        <v>253</v>
      </c>
      <c r="I22" s="159"/>
      <c r="J22" s="43"/>
      <c r="K22" s="310"/>
      <c r="L22" s="107">
        <f t="shared" si="13"/>
        <v>11</v>
      </c>
      <c r="M22" s="18" t="s">
        <v>308</v>
      </c>
      <c r="N22" s="482">
        <f>'[11]Lead G'!$C$23</f>
        <v>23884435.68</v>
      </c>
      <c r="O22" s="17">
        <f t="shared" si="2"/>
        <v>11</v>
      </c>
      <c r="P22" s="2" t="s">
        <v>20</v>
      </c>
      <c r="R22" s="57" t="s">
        <v>20</v>
      </c>
      <c r="S22" s="17">
        <f t="shared" si="3"/>
        <v>11</v>
      </c>
      <c r="T22" s="376" t="s">
        <v>220</v>
      </c>
      <c r="U22" s="43"/>
      <c r="V22" s="483">
        <f>+'[18]Lead 3.05 '!E19</f>
        <v>252317.05</v>
      </c>
      <c r="W22" s="17">
        <f t="shared" si="4"/>
        <v>11</v>
      </c>
      <c r="Y22" s="1"/>
      <c r="Z22" s="37"/>
      <c r="AA22" s="185"/>
      <c r="AB22" s="36">
        <f t="shared" si="5"/>
        <v>11</v>
      </c>
      <c r="AC22" s="2" t="s">
        <v>256</v>
      </c>
      <c r="AG22" s="324">
        <f>AG18*AG21</f>
        <v>4315013.2765547996</v>
      </c>
      <c r="AI22" s="20"/>
      <c r="AJ22" s="20"/>
      <c r="AK22" s="20"/>
      <c r="AL22" s="20"/>
      <c r="AM22" s="20"/>
      <c r="AN22" s="17">
        <v>11</v>
      </c>
      <c r="AO22" s="2" t="s">
        <v>94</v>
      </c>
      <c r="AQ22" s="26">
        <f>-(AQ14+AQ18)</f>
        <v>31101.566019996302</v>
      </c>
      <c r="AR22" s="18" t="s">
        <v>20</v>
      </c>
      <c r="AS22" s="18"/>
      <c r="AT22" s="103"/>
      <c r="AU22" s="103"/>
      <c r="AV22" s="103"/>
      <c r="BA22" s="54"/>
      <c r="BB22" s="159"/>
      <c r="BC22" s="166"/>
      <c r="BD22" s="167"/>
      <c r="BE22" s="167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7">
        <f t="shared" ref="BP22" si="29">+BP21+1</f>
        <v>11</v>
      </c>
      <c r="BQ22" s="601" t="s">
        <v>375</v>
      </c>
      <c r="BR22" s="609">
        <f>'[20]3.21G'!D24</f>
        <v>-7211132.0000000009</v>
      </c>
      <c r="BS22" s="308">
        <f>'[20]3.21G'!E24</f>
        <v>0</v>
      </c>
      <c r="BT22" s="308">
        <f>'[20]3.21G'!F24</f>
        <v>7211132.0000000009</v>
      </c>
      <c r="BU22" s="17"/>
      <c r="BW22" s="255"/>
      <c r="BX22" s="255"/>
      <c r="BZ22" s="256"/>
      <c r="CA22" s="107">
        <f t="shared" ref="CA22" si="30">+CA21+1</f>
        <v>10</v>
      </c>
      <c r="CB22" s="18" t="s">
        <v>88</v>
      </c>
      <c r="CC22" s="13"/>
      <c r="CD22" s="25"/>
      <c r="CE22" s="25"/>
      <c r="CF22" s="25"/>
      <c r="CG22" s="25"/>
      <c r="CH22" s="25"/>
      <c r="CI22" s="25"/>
      <c r="CJ22" s="23"/>
      <c r="CK22" s="17">
        <f t="shared" si="15"/>
        <v>2</v>
      </c>
      <c r="CL22" s="18" t="s">
        <v>88</v>
      </c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17">
        <f t="shared" si="17"/>
        <v>2</v>
      </c>
      <c r="CX22" s="18" t="s">
        <v>88</v>
      </c>
      <c r="CY22" s="23"/>
      <c r="CZ22" s="23"/>
      <c r="DA22" s="23"/>
    </row>
    <row r="23" spans="1:118" ht="15" customHeight="1" x14ac:dyDescent="0.2">
      <c r="A23" s="17">
        <f t="shared" si="0"/>
        <v>12</v>
      </c>
      <c r="B23" s="472">
        <v>44075</v>
      </c>
      <c r="C23" s="356">
        <f>+'[26]G Lead Sheet'!C24</f>
        <v>17954690.451314159</v>
      </c>
      <c r="D23" s="356">
        <f>+'[26]G Lead Sheet'!D24</f>
        <v>18208262.043714158</v>
      </c>
      <c r="E23" s="356">
        <f t="shared" si="18"/>
        <v>253571.5923999995</v>
      </c>
      <c r="F23" s="488"/>
      <c r="G23" s="54">
        <f t="shared" si="1"/>
        <v>12</v>
      </c>
      <c r="H23" s="411"/>
      <c r="I23" s="159"/>
      <c r="J23" s="43"/>
      <c r="K23" s="310"/>
      <c r="L23" s="107">
        <f t="shared" si="13"/>
        <v>12</v>
      </c>
      <c r="M23" s="18" t="s">
        <v>303</v>
      </c>
      <c r="N23" s="482">
        <f>'[11]Lead G'!$C$24</f>
        <v>79467745.569999993</v>
      </c>
      <c r="O23" s="17">
        <f t="shared" si="2"/>
        <v>12</v>
      </c>
      <c r="P23" s="2" t="s">
        <v>68</v>
      </c>
      <c r="Q23" s="144">
        <f>FIT</f>
        <v>0.21</v>
      </c>
      <c r="R23" s="43">
        <f>R21*Q23</f>
        <v>-12902310.123364996</v>
      </c>
      <c r="S23" s="17">
        <f t="shared" si="3"/>
        <v>12</v>
      </c>
      <c r="T23" s="377" t="s">
        <v>156</v>
      </c>
      <c r="U23" s="359"/>
      <c r="V23" s="360">
        <f>SUM(V12:V22)</f>
        <v>151561275.25063598</v>
      </c>
      <c r="W23" s="17">
        <f t="shared" si="4"/>
        <v>12</v>
      </c>
      <c r="X23" s="2" t="s">
        <v>186</v>
      </c>
      <c r="Y23" s="144">
        <f>FIT</f>
        <v>0.21</v>
      </c>
      <c r="Z23" s="37"/>
      <c r="AA23" s="316">
        <f>-AA21*Y23</f>
        <v>-42898.694789999987</v>
      </c>
      <c r="AB23" s="36">
        <f t="shared" si="5"/>
        <v>12</v>
      </c>
      <c r="AG23" s="26"/>
      <c r="AN23" s="17">
        <v>12</v>
      </c>
      <c r="AQ23" s="26"/>
      <c r="AR23" s="18"/>
      <c r="AS23" s="18"/>
      <c r="AT23" s="103"/>
      <c r="AU23" s="103"/>
      <c r="AV23" s="103"/>
      <c r="BA23" s="54"/>
      <c r="BB23" s="163"/>
      <c r="BC23" s="166"/>
      <c r="BD23" s="167"/>
      <c r="BE23" s="167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7">
        <f t="shared" ref="BP23" si="31">+BP22+1</f>
        <v>12</v>
      </c>
      <c r="BQ23" s="479" t="s">
        <v>376</v>
      </c>
      <c r="BR23" s="343">
        <f>'[20]3.21G'!D25</f>
        <v>24183574.225156937</v>
      </c>
      <c r="BS23" s="343">
        <f>'[20]3.21G'!E25</f>
        <v>0</v>
      </c>
      <c r="BT23" s="343">
        <f>'[20]3.21G'!F25</f>
        <v>-24183574.225156937</v>
      </c>
      <c r="BU23" s="17"/>
      <c r="BW23" s="255"/>
      <c r="BX23" s="371"/>
      <c r="BZ23" s="256"/>
      <c r="CA23" s="107">
        <f t="shared" ref="CA23" si="32">+CA22+1</f>
        <v>11</v>
      </c>
      <c r="CB23" s="18"/>
      <c r="CC23" s="46"/>
      <c r="CD23" s="50"/>
      <c r="CE23" s="50"/>
      <c r="CF23" s="50"/>
      <c r="CG23" s="50"/>
      <c r="CH23" s="50"/>
      <c r="CI23" s="50"/>
      <c r="CJ23" s="50"/>
      <c r="CK23" s="17">
        <f t="shared" si="15"/>
        <v>3</v>
      </c>
      <c r="CL23" s="18"/>
      <c r="CM23" s="50"/>
      <c r="CN23" s="50"/>
      <c r="CO23" s="50"/>
      <c r="CP23" s="50"/>
      <c r="CQ23" s="50"/>
      <c r="CR23" s="50"/>
      <c r="CS23" s="483"/>
      <c r="CT23" s="483"/>
      <c r="CU23" s="483"/>
      <c r="CV23" s="26"/>
      <c r="CW23" s="17">
        <f t="shared" si="17"/>
        <v>3</v>
      </c>
      <c r="CX23" s="18"/>
      <c r="CY23" s="50"/>
      <c r="CZ23" s="50"/>
      <c r="DA23" s="68"/>
    </row>
    <row r="24" spans="1:118" ht="15" customHeight="1" thickBot="1" x14ac:dyDescent="0.25">
      <c r="A24" s="17">
        <f t="shared" si="0"/>
        <v>13</v>
      </c>
      <c r="B24" s="472">
        <v>44105</v>
      </c>
      <c r="C24" s="356">
        <f>+'[26]G Lead Sheet'!C25</f>
        <v>18139687.066182643</v>
      </c>
      <c r="D24" s="356">
        <f>+'[26]G Lead Sheet'!D25</f>
        <v>18443001.97735564</v>
      </c>
      <c r="E24" s="356">
        <f t="shared" si="18"/>
        <v>303314.91117299721</v>
      </c>
      <c r="F24" s="488"/>
      <c r="G24" s="54">
        <f t="shared" si="1"/>
        <v>13</v>
      </c>
      <c r="H24" s="411"/>
      <c r="I24" s="159"/>
      <c r="K24" s="310"/>
      <c r="L24" s="107">
        <f t="shared" si="13"/>
        <v>13</v>
      </c>
      <c r="M24" s="2" t="s">
        <v>309</v>
      </c>
      <c r="N24" s="482">
        <f>'[11]Lead G'!$C$25</f>
        <v>-67260307.109999999</v>
      </c>
      <c r="O24" s="17">
        <f t="shared" si="2"/>
        <v>13</v>
      </c>
      <c r="P24" s="2" t="s">
        <v>56</v>
      </c>
      <c r="Q24" s="37"/>
      <c r="R24" s="332">
        <f>-R23</f>
        <v>12902310.123364996</v>
      </c>
      <c r="S24" s="17">
        <f t="shared" si="3"/>
        <v>13</v>
      </c>
      <c r="T24" s="377"/>
      <c r="U24" s="358"/>
      <c r="V24" s="386"/>
      <c r="W24" s="17">
        <f t="shared" si="4"/>
        <v>13</v>
      </c>
      <c r="X24" s="2" t="s">
        <v>55</v>
      </c>
      <c r="Y24" s="1"/>
      <c r="Z24" s="37"/>
      <c r="AA24" s="317">
        <f>-AA21-AA23</f>
        <v>-161380.80420999997</v>
      </c>
      <c r="AB24" s="36">
        <f t="shared" si="5"/>
        <v>13</v>
      </c>
      <c r="AC24" s="18" t="s">
        <v>95</v>
      </c>
      <c r="AG24" s="343">
        <f>'[12]Lead Sheet'!F27</f>
        <v>4245353.5383418314</v>
      </c>
      <c r="AN24" s="17">
        <v>13</v>
      </c>
      <c r="AO24" s="2" t="s">
        <v>57</v>
      </c>
      <c r="AP24" s="259">
        <f>FIT</f>
        <v>0.21</v>
      </c>
      <c r="AQ24" s="26">
        <f>AQ22*AP24</f>
        <v>6531.3288641992231</v>
      </c>
      <c r="AR24" s="18"/>
      <c r="AS24" s="18"/>
      <c r="AT24" s="103"/>
      <c r="AU24" s="103"/>
      <c r="AV24" s="103"/>
      <c r="BA24" s="168"/>
      <c r="BB24" s="226"/>
      <c r="BC24" s="260"/>
      <c r="BD24" s="260"/>
      <c r="BE24" s="260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479"/>
      <c r="BR24" s="51"/>
      <c r="BS24" s="257"/>
      <c r="BT24" s="407"/>
      <c r="BU24" s="17"/>
      <c r="BW24" s="51"/>
      <c r="BX24" s="257"/>
      <c r="BY24" s="407"/>
      <c r="BZ24" s="256"/>
      <c r="CA24" s="107">
        <f t="shared" ref="CA24" si="33">+CA23+1</f>
        <v>12</v>
      </c>
      <c r="CB24" s="18" t="s">
        <v>89</v>
      </c>
      <c r="CC24" s="343">
        <f>+'[25]Allocated (CBR)'!C19</f>
        <v>362871835.14000005</v>
      </c>
      <c r="CD24" s="25">
        <f>+F39</f>
        <v>0</v>
      </c>
      <c r="CE24" s="25"/>
      <c r="CF24" s="25">
        <v>0</v>
      </c>
      <c r="CG24" s="25">
        <v>0</v>
      </c>
      <c r="CH24" s="25">
        <f>V35</f>
        <v>-61119638.789999999</v>
      </c>
      <c r="CI24" s="25"/>
      <c r="CJ24" s="25">
        <v>0</v>
      </c>
      <c r="CK24" s="17">
        <f t="shared" si="15"/>
        <v>4</v>
      </c>
      <c r="CL24" s="18" t="s">
        <v>89</v>
      </c>
      <c r="CM24" s="25"/>
      <c r="CN24" s="25"/>
      <c r="CO24" s="25">
        <v>0</v>
      </c>
      <c r="CP24" s="25">
        <v>0</v>
      </c>
      <c r="CQ24" s="25">
        <v>0</v>
      </c>
      <c r="CR24" s="25"/>
      <c r="CS24" s="343">
        <v>0</v>
      </c>
      <c r="CT24" s="343">
        <v>0</v>
      </c>
      <c r="CU24" s="343">
        <f t="shared" ref="CU24:CU41" si="34">SUM(CD24:CT24)-CK24</f>
        <v>-61119638.789999999</v>
      </c>
      <c r="CV24" s="26">
        <f>CC24+CU24</f>
        <v>301752196.35000002</v>
      </c>
      <c r="CW24" s="17">
        <f t="shared" si="17"/>
        <v>4</v>
      </c>
      <c r="CX24" s="18" t="s">
        <v>89</v>
      </c>
      <c r="CY24" s="25">
        <f>CC24</f>
        <v>362871835.14000005</v>
      </c>
      <c r="CZ24" s="25">
        <f>CU24</f>
        <v>-61119638.789999999</v>
      </c>
      <c r="DA24" s="65">
        <f>+CY24+CZ24</f>
        <v>301752196.35000002</v>
      </c>
      <c r="DB24" s="65"/>
    </row>
    <row r="25" spans="1:118" ht="15" customHeight="1" thickTop="1" x14ac:dyDescent="0.2">
      <c r="A25" s="17">
        <f t="shared" si="0"/>
        <v>14</v>
      </c>
      <c r="B25" s="472">
        <v>44136</v>
      </c>
      <c r="C25" s="356">
        <f>+'[26]G Lead Sheet'!C26</f>
        <v>19537734.285945635</v>
      </c>
      <c r="D25" s="356">
        <f>+'[26]G Lead Sheet'!D26</f>
        <v>19656528.711596675</v>
      </c>
      <c r="E25" s="356">
        <f t="shared" si="18"/>
        <v>118794.42565103993</v>
      </c>
      <c r="F25" s="488"/>
      <c r="G25" s="54">
        <f t="shared" si="1"/>
        <v>14</v>
      </c>
      <c r="H25" s="240" t="s">
        <v>225</v>
      </c>
      <c r="I25" s="159"/>
      <c r="K25" s="536">
        <f>SUM(J20:J24)</f>
        <v>-1.03</v>
      </c>
      <c r="L25" s="107">
        <f t="shared" si="13"/>
        <v>14</v>
      </c>
      <c r="M25" s="2" t="s">
        <v>305</v>
      </c>
      <c r="N25" s="482">
        <f>'[11]Lead G'!$C$26</f>
        <v>0</v>
      </c>
      <c r="O25" s="17"/>
      <c r="R25" s="2" t="s">
        <v>20</v>
      </c>
      <c r="S25" s="17">
        <f t="shared" si="3"/>
        <v>14</v>
      </c>
      <c r="T25" s="378" t="s">
        <v>157</v>
      </c>
      <c r="U25" s="358"/>
      <c r="V25" s="387"/>
      <c r="W25" s="43"/>
      <c r="X25" s="43"/>
      <c r="Y25" s="43"/>
      <c r="Z25" s="43"/>
      <c r="AA25" s="43"/>
      <c r="AB25" s="36">
        <f t="shared" si="5"/>
        <v>14</v>
      </c>
      <c r="AC25" s="258" t="s">
        <v>51</v>
      </c>
      <c r="AH25" s="26">
        <f>ROUND(AG22-AG24,0)</f>
        <v>69660</v>
      </c>
      <c r="AN25" s="17">
        <v>14</v>
      </c>
      <c r="AP25" s="259"/>
      <c r="AQ25" s="26"/>
      <c r="AR25" s="18"/>
      <c r="AS25" s="18"/>
      <c r="AT25" s="18"/>
      <c r="AU25" s="18"/>
      <c r="AV25" s="103"/>
      <c r="BA25" s="168"/>
      <c r="BB25" s="184"/>
      <c r="BC25" s="131"/>
      <c r="BD25" s="131"/>
      <c r="BE25" s="131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479"/>
      <c r="BR25" s="479"/>
      <c r="BS25" s="257"/>
      <c r="BT25" s="31"/>
      <c r="BU25" s="17"/>
      <c r="BX25" s="246"/>
      <c r="BY25" s="31"/>
      <c r="BZ25" s="25"/>
      <c r="CA25" s="107">
        <f t="shared" ref="CA25" si="35">+CA24+1</f>
        <v>13</v>
      </c>
      <c r="CB25" s="18"/>
      <c r="CC25" s="46"/>
      <c r="CD25" s="43"/>
      <c r="CE25" s="43"/>
      <c r="CF25" s="43"/>
      <c r="CG25" s="43"/>
      <c r="CH25" s="43"/>
      <c r="CI25" s="43"/>
      <c r="CJ25" s="44"/>
      <c r="CK25" s="17">
        <f t="shared" si="15"/>
        <v>5</v>
      </c>
      <c r="CL25" s="18"/>
      <c r="CM25" s="44"/>
      <c r="CN25" s="43"/>
      <c r="CO25" s="44"/>
      <c r="CP25" s="44"/>
      <c r="CQ25" s="44"/>
      <c r="CR25" s="44"/>
      <c r="CS25" s="309"/>
      <c r="CT25" s="309"/>
      <c r="CU25" s="309">
        <f t="shared" si="34"/>
        <v>0</v>
      </c>
      <c r="CV25" s="44"/>
      <c r="CW25" s="17">
        <f t="shared" si="17"/>
        <v>5</v>
      </c>
      <c r="CX25" s="18"/>
      <c r="CY25" s="44"/>
      <c r="CZ25" s="43"/>
      <c r="DA25" s="66"/>
    </row>
    <row r="26" spans="1:118" ht="15" customHeight="1" thickBot="1" x14ac:dyDescent="0.25">
      <c r="A26" s="17">
        <f t="shared" si="0"/>
        <v>15</v>
      </c>
      <c r="B26" s="472">
        <v>44166</v>
      </c>
      <c r="C26" s="356">
        <f>+'[26]G Lead Sheet'!C27</f>
        <v>24630204.156827584</v>
      </c>
      <c r="D26" s="356">
        <f>+'[26]G Lead Sheet'!D27</f>
        <v>25460261.748289913</v>
      </c>
      <c r="E26" s="356">
        <f t="shared" si="18"/>
        <v>830057.59146232903</v>
      </c>
      <c r="F26" s="488"/>
      <c r="G26" s="54">
        <f t="shared" si="1"/>
        <v>15</v>
      </c>
      <c r="H26" s="159"/>
      <c r="I26" s="159"/>
      <c r="J26" s="161"/>
      <c r="K26" s="364"/>
      <c r="L26" s="107">
        <f t="shared" si="13"/>
        <v>15</v>
      </c>
      <c r="N26" s="487"/>
      <c r="O26" s="62"/>
      <c r="P26"/>
      <c r="Q26"/>
      <c r="R26"/>
      <c r="S26" s="17">
        <f t="shared" si="3"/>
        <v>15</v>
      </c>
      <c r="T26" s="373" t="s">
        <v>141</v>
      </c>
      <c r="U26" s="417">
        <f>+BY12</f>
        <v>4.5199999999999997E-3</v>
      </c>
      <c r="V26" s="361">
        <f>+'[18]Lead 3.05 '!E23</f>
        <v>-686143.07828078093</v>
      </c>
      <c r="W26" s="131"/>
      <c r="X26" s="131"/>
      <c r="Y26" s="131"/>
      <c r="Z26" s="131"/>
      <c r="AA26" s="131"/>
      <c r="AB26" s="36">
        <f t="shared" si="5"/>
        <v>15</v>
      </c>
      <c r="AC26" s="261"/>
      <c r="AI26" s="2"/>
      <c r="AJ26" s="2"/>
      <c r="AK26" s="2"/>
      <c r="AL26" s="2"/>
      <c r="AM26" s="2"/>
      <c r="AN26" s="17">
        <v>15</v>
      </c>
      <c r="AO26" s="2" t="s">
        <v>55</v>
      </c>
      <c r="AQ26" s="320">
        <f>AQ22-AQ24</f>
        <v>24570.23715579708</v>
      </c>
      <c r="AR26" s="18"/>
      <c r="AS26" s="18"/>
      <c r="AT26" s="18"/>
      <c r="AU26" s="18"/>
      <c r="AV26" s="103"/>
      <c r="BA26" s="168"/>
      <c r="BB26" s="184"/>
      <c r="BC26" s="262"/>
      <c r="BD26" s="262"/>
      <c r="BE26" s="146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7"/>
      <c r="BV26" s="60"/>
      <c r="BW26" s="60"/>
      <c r="BX26" s="263"/>
      <c r="BZ26" s="43"/>
      <c r="CA26" s="107">
        <f t="shared" ref="CA26" si="36">+CA25+1</f>
        <v>14</v>
      </c>
      <c r="CB26" s="18" t="s">
        <v>5</v>
      </c>
      <c r="CC26" s="330">
        <f>SUM(CC24:CC25)</f>
        <v>362871835.14000005</v>
      </c>
      <c r="CD26" s="42">
        <f>SUM(CD23:CD25)</f>
        <v>0</v>
      </c>
      <c r="CE26" s="42">
        <f>SUM(CE23:CE25)</f>
        <v>0</v>
      </c>
      <c r="CF26" s="42">
        <f>SUM(CF23:CF25)</f>
        <v>0</v>
      </c>
      <c r="CG26" s="42">
        <f>SUM(CG23:CG25)</f>
        <v>0</v>
      </c>
      <c r="CH26" s="42">
        <f>SUM(CH23:CH25)</f>
        <v>-61119638.789999999</v>
      </c>
      <c r="CI26" s="42"/>
      <c r="CJ26" s="42">
        <f>SUM(CJ23:CJ25)</f>
        <v>0</v>
      </c>
      <c r="CK26" s="17">
        <f t="shared" si="15"/>
        <v>6</v>
      </c>
      <c r="CL26" s="18" t="s">
        <v>5</v>
      </c>
      <c r="CM26" s="42">
        <f>SUM(CM23:CM25)</f>
        <v>0</v>
      </c>
      <c r="CN26" s="42">
        <f>SUM(CN23:CN25)</f>
        <v>0</v>
      </c>
      <c r="CO26" s="42">
        <f>SUM(CO23:CO25)</f>
        <v>0</v>
      </c>
      <c r="CP26" s="42">
        <f>SUM(CP23:CP25)</f>
        <v>0</v>
      </c>
      <c r="CQ26" s="42">
        <f>SUM(CQ23:CQ25)</f>
        <v>0</v>
      </c>
      <c r="CR26" s="42"/>
      <c r="CS26" s="330">
        <f>SUM(CS23:CS25)</f>
        <v>0</v>
      </c>
      <c r="CT26" s="330">
        <f>SUM(CT23:CT25)</f>
        <v>0</v>
      </c>
      <c r="CU26" s="330">
        <f t="shared" si="34"/>
        <v>-61119638.789999999</v>
      </c>
      <c r="CV26" s="26">
        <f>CC26+CU26</f>
        <v>301752196.35000002</v>
      </c>
      <c r="CW26" s="17">
        <f t="shared" si="17"/>
        <v>6</v>
      </c>
      <c r="CX26" s="18" t="s">
        <v>5</v>
      </c>
      <c r="CY26" s="42">
        <f>SUM(CY22:CY25)</f>
        <v>362871835.14000005</v>
      </c>
      <c r="CZ26" s="42">
        <f>SUM(CZ22:CZ25)</f>
        <v>-61119638.789999999</v>
      </c>
      <c r="DA26" s="42">
        <f>SUM(DA22:DA25)</f>
        <v>301752196.35000002</v>
      </c>
      <c r="DB26" s="26"/>
    </row>
    <row r="27" spans="1:118" s="60" customFormat="1" ht="15" customHeight="1" thickTop="1" x14ac:dyDescent="0.2">
      <c r="A27" s="17">
        <f t="shared" si="0"/>
        <v>16</v>
      </c>
      <c r="B27" s="159"/>
      <c r="C27" s="357">
        <f>ROUND(SUM(C15:C26),0)</f>
        <v>230581935</v>
      </c>
      <c r="D27" s="357">
        <f>ROUND(SUM(D15:D26),0)</f>
        <v>233325583</v>
      </c>
      <c r="E27" s="357">
        <f>ROUND(SUM(E15:E26),0)</f>
        <v>2743647</v>
      </c>
      <c r="F27" s="154"/>
      <c r="G27" s="54">
        <f t="shared" si="1"/>
        <v>16</v>
      </c>
      <c r="H27" s="159" t="s">
        <v>149</v>
      </c>
      <c r="I27" s="161"/>
      <c r="J27" s="138"/>
      <c r="K27" s="537">
        <f>SUM(K12:K26)</f>
        <v>4305159.1899999995</v>
      </c>
      <c r="L27" s="107">
        <f t="shared" si="13"/>
        <v>16</v>
      </c>
      <c r="M27" s="60" t="s">
        <v>310</v>
      </c>
      <c r="N27" s="484">
        <f>SUM(N22:N25)</f>
        <v>36091874.140000001</v>
      </c>
      <c r="O27" s="17"/>
      <c r="P27"/>
      <c r="Q27"/>
      <c r="R27"/>
      <c r="S27" s="17">
        <f t="shared" si="3"/>
        <v>16</v>
      </c>
      <c r="T27" s="379" t="s">
        <v>158</v>
      </c>
      <c r="U27" s="417">
        <f>+BY13</f>
        <v>2E-3</v>
      </c>
      <c r="V27" s="388">
        <f>+'[18]Lead 3.05 '!E24</f>
        <v>-303603.13198264648</v>
      </c>
      <c r="W27" s="43"/>
      <c r="X27" s="43"/>
      <c r="Y27" s="43"/>
      <c r="Z27" s="43"/>
      <c r="AA27" s="43"/>
      <c r="AB27" s="36">
        <f t="shared" si="5"/>
        <v>16</v>
      </c>
      <c r="AC27" s="163" t="s">
        <v>169</v>
      </c>
      <c r="AD27" s="2"/>
      <c r="AE27" s="2"/>
      <c r="AF27" s="2"/>
      <c r="AG27" s="2"/>
      <c r="AH27" s="26">
        <f>-AH25</f>
        <v>-69660</v>
      </c>
      <c r="AI27" s="149"/>
      <c r="AJ27" s="149"/>
      <c r="AK27" s="149"/>
      <c r="AL27" s="149"/>
      <c r="AM27" s="149"/>
      <c r="AN27" s="2"/>
      <c r="AO27" s="2"/>
      <c r="AP27" s="2"/>
      <c r="AQ27"/>
      <c r="AR27" s="18"/>
      <c r="AS27" s="18"/>
      <c r="AT27" s="18"/>
      <c r="AU27" s="18"/>
      <c r="AV27" s="103"/>
      <c r="AW27" s="159"/>
      <c r="AX27" s="159"/>
      <c r="AY27" s="159"/>
      <c r="AZ27" s="159"/>
      <c r="BA27" s="168"/>
      <c r="BB27" s="264"/>
      <c r="BC27" s="262"/>
      <c r="BD27" s="262"/>
      <c r="BE27" s="146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7"/>
      <c r="BV27" s="18"/>
      <c r="BW27" s="2"/>
      <c r="BX27" s="265"/>
      <c r="BY27" s="2"/>
      <c r="BZ27" s="43"/>
      <c r="CA27" s="107">
        <f t="shared" ref="CA27" si="37">+CA26+1</f>
        <v>15</v>
      </c>
      <c r="CB27" s="97"/>
      <c r="CC27" s="38"/>
      <c r="CD27" s="38"/>
      <c r="CE27" s="38"/>
      <c r="CF27" s="38"/>
      <c r="CG27" s="38"/>
      <c r="CH27" s="38"/>
      <c r="CI27" s="38"/>
      <c r="CJ27" s="296"/>
      <c r="CK27" s="17">
        <f t="shared" si="15"/>
        <v>7</v>
      </c>
      <c r="CL27" s="97"/>
      <c r="CM27" s="296"/>
      <c r="CN27" s="63"/>
      <c r="CO27" s="296"/>
      <c r="CP27" s="296"/>
      <c r="CQ27" s="296"/>
      <c r="CR27" s="296"/>
      <c r="CS27" s="296"/>
      <c r="CT27" s="296"/>
      <c r="CU27" s="296"/>
      <c r="CV27" s="38"/>
      <c r="CW27" s="17">
        <f t="shared" si="17"/>
        <v>7</v>
      </c>
      <c r="CX27"/>
      <c r="CY27"/>
      <c r="CZ27"/>
      <c r="DA27"/>
      <c r="DB27" s="26"/>
      <c r="DC27"/>
      <c r="DD27"/>
      <c r="DE27"/>
      <c r="DF27"/>
      <c r="DG27"/>
      <c r="DH27"/>
      <c r="DI27"/>
      <c r="DJ27"/>
      <c r="DK27"/>
      <c r="DL27"/>
      <c r="DM27"/>
      <c r="DN27"/>
    </row>
    <row r="28" spans="1:118" ht="15" customHeight="1" x14ac:dyDescent="0.2">
      <c r="A28" s="17">
        <f t="shared" si="0"/>
        <v>17</v>
      </c>
      <c r="B28" s="205" t="s">
        <v>139</v>
      </c>
      <c r="C28" s="147"/>
      <c r="D28" s="147"/>
      <c r="E28" s="159"/>
      <c r="F28" s="154"/>
      <c r="G28" s="54">
        <f t="shared" si="1"/>
        <v>17</v>
      </c>
      <c r="H28" s="159"/>
      <c r="I28" s="161"/>
      <c r="J28" s="138"/>
      <c r="K28" s="52"/>
      <c r="L28" s="107">
        <f t="shared" si="13"/>
        <v>17</v>
      </c>
      <c r="N28" s="481"/>
      <c r="O28" s="17"/>
      <c r="P28"/>
      <c r="Q28"/>
      <c r="R28"/>
      <c r="S28" s="17">
        <f t="shared" si="3"/>
        <v>17</v>
      </c>
      <c r="T28" s="380" t="s">
        <v>159</v>
      </c>
      <c r="U28" s="417">
        <f>+BY14</f>
        <v>3.8345999999999998E-2</v>
      </c>
      <c r="V28" s="388">
        <f>+'[18]Lead 3.05 '!E25</f>
        <v>-5820982.8495032806</v>
      </c>
      <c r="W28" s="43"/>
      <c r="X28" s="43"/>
      <c r="Y28" s="43"/>
      <c r="Z28" s="43"/>
      <c r="AA28" s="43"/>
      <c r="AB28" s="36">
        <f t="shared" si="5"/>
        <v>17</v>
      </c>
      <c r="AC28" s="161" t="s">
        <v>83</v>
      </c>
      <c r="AG28" s="144">
        <f>FIT</f>
        <v>0.21</v>
      </c>
      <c r="AH28" s="83">
        <f>ROUND(-AH25*AG28,0)</f>
        <v>-14629</v>
      </c>
      <c r="AI28" s="150"/>
      <c r="AJ28" s="150"/>
      <c r="AK28" s="150"/>
      <c r="AL28" s="150"/>
      <c r="AM28" s="150"/>
      <c r="AQ28"/>
      <c r="AR28" s="45"/>
      <c r="AS28" s="45"/>
      <c r="AT28" s="45"/>
      <c r="AU28" s="45"/>
      <c r="AV28" s="45"/>
      <c r="BA28" s="168"/>
      <c r="BB28" s="264"/>
      <c r="BC28" s="262"/>
      <c r="BD28" s="262"/>
      <c r="BE28" s="262"/>
      <c r="BF28" s="45"/>
      <c r="BG28" s="45"/>
      <c r="BH28" s="45"/>
      <c r="BI28" s="45"/>
      <c r="BJ28" s="45"/>
      <c r="BK28" s="319"/>
      <c r="BL28" s="319"/>
      <c r="BM28" s="319"/>
      <c r="BN28" s="319"/>
      <c r="BO28" s="319"/>
      <c r="BP28" s="319"/>
      <c r="BQ28" s="319"/>
      <c r="BR28" s="319"/>
      <c r="BS28" s="319"/>
      <c r="BT28" s="319"/>
      <c r="BU28" s="17"/>
      <c r="BV28" s="18"/>
      <c r="BX28" s="265"/>
      <c r="BZ28" s="267"/>
      <c r="CA28" s="107">
        <f t="shared" ref="CA28" si="38">+CA27+1</f>
        <v>16</v>
      </c>
      <c r="CB28" s="28" t="s">
        <v>66</v>
      </c>
      <c r="CC28" s="343">
        <f>+'[25]Allocated (CBR)'!C24</f>
        <v>6360508.2700000014</v>
      </c>
      <c r="CD28" s="25">
        <v>0</v>
      </c>
      <c r="CE28" s="25"/>
      <c r="CF28" s="25">
        <v>0</v>
      </c>
      <c r="CG28" s="25">
        <v>0</v>
      </c>
      <c r="CH28" s="25">
        <f>V36</f>
        <v>-353059.98</v>
      </c>
      <c r="CI28" s="25"/>
      <c r="CJ28" s="25">
        <v>0</v>
      </c>
      <c r="CK28" s="17">
        <f t="shared" si="15"/>
        <v>8</v>
      </c>
      <c r="CL28" s="28" t="s">
        <v>66</v>
      </c>
      <c r="CM28" s="45"/>
      <c r="CN28" s="25">
        <v>0</v>
      </c>
      <c r="CO28" s="45">
        <v>0</v>
      </c>
      <c r="CP28" s="45">
        <v>0</v>
      </c>
      <c r="CQ28" s="45">
        <v>0</v>
      </c>
      <c r="CR28" s="45"/>
      <c r="CS28" s="319">
        <v>0</v>
      </c>
      <c r="CT28" s="319">
        <f>BT13</f>
        <v>-545.98</v>
      </c>
      <c r="CU28" s="319">
        <f t="shared" si="34"/>
        <v>-353605.95999999996</v>
      </c>
      <c r="CV28" s="26">
        <f t="shared" ref="CV28:CV41" si="39">CC28+CU28</f>
        <v>6006902.3100000015</v>
      </c>
      <c r="CW28" s="17">
        <f t="shared" si="17"/>
        <v>8</v>
      </c>
      <c r="CX28" s="81" t="s">
        <v>59</v>
      </c>
      <c r="CY28" s="25">
        <f t="shared" ref="CY28:CY41" si="40">CC28</f>
        <v>6360508.2700000014</v>
      </c>
      <c r="CZ28" s="25">
        <f t="shared" ref="CZ28:CZ41" si="41">CU28</f>
        <v>-353605.95999999996</v>
      </c>
      <c r="DA28" s="65">
        <f>CY28+CZ28</f>
        <v>6006902.3100000015</v>
      </c>
      <c r="DB28" s="26"/>
    </row>
    <row r="29" spans="1:118" ht="15" customHeight="1" thickBot="1" x14ac:dyDescent="0.25">
      <c r="A29" s="17">
        <f t="shared" si="0"/>
        <v>18</v>
      </c>
      <c r="C29" s="384"/>
      <c r="D29" s="306"/>
      <c r="E29" s="302"/>
      <c r="F29" s="159"/>
      <c r="G29" s="54">
        <f t="shared" si="1"/>
        <v>18</v>
      </c>
      <c r="H29" s="163" t="s">
        <v>141</v>
      </c>
      <c r="I29" s="196">
        <f>+BY12</f>
        <v>4.5199999999999997E-3</v>
      </c>
      <c r="J29" s="363">
        <f>+K27*I29</f>
        <v>19459.319538799995</v>
      </c>
      <c r="K29" s="43"/>
      <c r="L29" s="107">
        <f t="shared" si="13"/>
        <v>18</v>
      </c>
      <c r="M29" s="18" t="s">
        <v>57</v>
      </c>
      <c r="N29" s="481">
        <f>N15-N22</f>
        <v>5367561.7629572973</v>
      </c>
      <c r="O29" s="17"/>
      <c r="P29"/>
      <c r="Q29"/>
      <c r="R29"/>
      <c r="S29" s="17">
        <f t="shared" si="3"/>
        <v>18</v>
      </c>
      <c r="T29" s="381" t="s">
        <v>160</v>
      </c>
      <c r="V29" s="389">
        <f>SUM(V26:V28)</f>
        <v>-6810729.0597667079</v>
      </c>
      <c r="W29" s="43"/>
      <c r="X29" s="43"/>
      <c r="Y29" s="43"/>
      <c r="Z29" s="43"/>
      <c r="AA29" s="43"/>
      <c r="AB29" s="36">
        <f t="shared" si="5"/>
        <v>18</v>
      </c>
      <c r="AC29" s="266" t="s">
        <v>56</v>
      </c>
      <c r="AH29" s="329">
        <f>AH27-AH28</f>
        <v>-55031</v>
      </c>
      <c r="AI29" s="37"/>
      <c r="AJ29" s="37"/>
      <c r="AK29" s="37"/>
      <c r="AL29" s="37"/>
      <c r="AM29" s="37"/>
      <c r="AQ29"/>
      <c r="AR29" s="2"/>
      <c r="AS29" s="2"/>
      <c r="AT29" s="2"/>
      <c r="AU29" s="2"/>
      <c r="AV29" s="2"/>
      <c r="AW29" s="162"/>
      <c r="BA29" s="168"/>
      <c r="BB29" s="264"/>
      <c r="BC29" s="262"/>
      <c r="BD29" s="262"/>
      <c r="BE29" s="262"/>
      <c r="BF29" s="2"/>
      <c r="BG29" s="2"/>
      <c r="BH29" s="2"/>
      <c r="BI29" s="2"/>
      <c r="BJ29" s="2"/>
      <c r="BK29" s="479"/>
      <c r="BL29" s="479"/>
      <c r="BM29" s="479"/>
      <c r="BN29" s="479"/>
      <c r="BO29" s="479"/>
      <c r="BP29" s="479"/>
      <c r="BQ29" s="479"/>
      <c r="BR29" s="479"/>
      <c r="BS29" s="479"/>
      <c r="BT29" s="479"/>
      <c r="BU29" s="17"/>
      <c r="BZ29" s="25"/>
      <c r="CA29" s="107">
        <f t="shared" ref="CA29" si="42">+CA28+1</f>
        <v>17</v>
      </c>
      <c r="CB29" s="18" t="s">
        <v>6</v>
      </c>
      <c r="CC29" s="495">
        <f>+'[25]Allocated (CBR)'!C25</f>
        <v>0</v>
      </c>
      <c r="CD29" s="43"/>
      <c r="CE29" s="43"/>
      <c r="CF29" s="43"/>
      <c r="CG29" s="43"/>
      <c r="CH29" s="43"/>
      <c r="CI29" s="43"/>
      <c r="CJ29" s="43"/>
      <c r="CK29" s="17">
        <f t="shared" si="15"/>
        <v>9</v>
      </c>
      <c r="CL29" s="18" t="s">
        <v>6</v>
      </c>
      <c r="CM29" s="43"/>
      <c r="CN29" s="43"/>
      <c r="CO29" s="43"/>
      <c r="CP29" s="43"/>
      <c r="CQ29" s="43"/>
      <c r="CR29" s="43"/>
      <c r="CS29" s="483"/>
      <c r="CT29" s="483"/>
      <c r="CU29" s="483">
        <f t="shared" si="34"/>
        <v>0</v>
      </c>
      <c r="CV29" s="43">
        <f t="shared" si="39"/>
        <v>0</v>
      </c>
      <c r="CW29" s="17">
        <f t="shared" si="17"/>
        <v>9</v>
      </c>
      <c r="CX29" s="18" t="s">
        <v>6</v>
      </c>
      <c r="CY29" s="43">
        <f t="shared" si="40"/>
        <v>0</v>
      </c>
      <c r="CZ29" s="14">
        <f t="shared" si="41"/>
        <v>0</v>
      </c>
      <c r="DA29" s="66">
        <f t="shared" ref="DA29:DA41" si="43">+CY29+CZ29</f>
        <v>0</v>
      </c>
      <c r="DB29" s="26"/>
    </row>
    <row r="30" spans="1:118" ht="15" customHeight="1" thickTop="1" x14ac:dyDescent="0.2">
      <c r="A30" s="17">
        <f t="shared" si="0"/>
        <v>19</v>
      </c>
      <c r="B30" s="473" t="s">
        <v>296</v>
      </c>
      <c r="C30" s="473"/>
      <c r="D30" s="474">
        <v>85</v>
      </c>
      <c r="E30" s="356">
        <f>+'[26]G Lead Sheet'!E30</f>
        <v>16129.825610938497</v>
      </c>
      <c r="G30" s="54">
        <f t="shared" si="1"/>
        <v>19</v>
      </c>
      <c r="H30" s="163" t="s">
        <v>142</v>
      </c>
      <c r="I30" s="196">
        <f>+BY13</f>
        <v>2E-3</v>
      </c>
      <c r="J30" s="363">
        <f>+K27*I30</f>
        <v>8610.3183799999988</v>
      </c>
      <c r="K30" s="43"/>
      <c r="L30" s="107">
        <f t="shared" si="13"/>
        <v>19</v>
      </c>
      <c r="M30" s="18" t="s">
        <v>311</v>
      </c>
      <c r="N30" s="482">
        <f>(N16+N17)-(N23+N24)</f>
        <v>-5160586.2578299958</v>
      </c>
      <c r="O30" s="17"/>
      <c r="P30"/>
      <c r="Q30"/>
      <c r="R30"/>
      <c r="S30" s="17">
        <f t="shared" si="3"/>
        <v>19</v>
      </c>
      <c r="T30" s="382"/>
      <c r="U30" s="24"/>
      <c r="V30" s="390"/>
      <c r="W30" s="270"/>
      <c r="X30" s="270"/>
      <c r="Y30" s="270"/>
      <c r="Z30" s="270"/>
      <c r="AA30" s="270"/>
      <c r="AC30" s="1"/>
      <c r="AI30" s="37"/>
      <c r="AJ30" s="37"/>
      <c r="AK30" s="37"/>
      <c r="AL30" s="37"/>
      <c r="AM30" s="37"/>
      <c r="AN30" s="60"/>
      <c r="AO30" s="60"/>
      <c r="AP30" s="60"/>
      <c r="AQ30"/>
      <c r="AR30" s="2"/>
      <c r="AS30" s="2"/>
      <c r="AT30" s="2"/>
      <c r="AU30" s="2"/>
      <c r="AV30" s="2"/>
      <c r="AW30" s="162"/>
      <c r="BA30" s="168"/>
      <c r="BB30" s="264"/>
      <c r="BC30" s="262"/>
      <c r="BD30" s="262"/>
      <c r="BE30" s="262"/>
      <c r="BF30" s="2"/>
      <c r="BG30" s="2"/>
      <c r="BH30" s="2"/>
      <c r="BI30" s="2"/>
      <c r="BJ30" s="2"/>
      <c r="BK30" s="479"/>
      <c r="BL30" s="479"/>
      <c r="BM30" s="479"/>
      <c r="BN30" s="479"/>
      <c r="BO30" s="479"/>
      <c r="BP30" s="479"/>
      <c r="BQ30" s="479"/>
      <c r="BR30" s="479"/>
      <c r="BS30" s="479"/>
      <c r="BT30" s="479"/>
      <c r="BU30" s="17"/>
      <c r="BZ30" s="25"/>
      <c r="CA30" s="107">
        <f t="shared" ref="CA30" si="44">+CA29+1</f>
        <v>18</v>
      </c>
      <c r="CB30" s="18" t="s">
        <v>7</v>
      </c>
      <c r="CC30" s="495">
        <f>+'[25]Allocated (CBR)'!C26</f>
        <v>57259641.000000007</v>
      </c>
      <c r="CD30" s="43"/>
      <c r="CE30" s="43"/>
      <c r="CF30" s="43"/>
      <c r="CG30" s="43"/>
      <c r="CH30" s="43"/>
      <c r="CI30" s="43"/>
      <c r="CJ30" s="43"/>
      <c r="CK30" s="17">
        <f t="shared" si="15"/>
        <v>10</v>
      </c>
      <c r="CL30" s="18" t="s">
        <v>7</v>
      </c>
      <c r="CM30" s="43"/>
      <c r="CN30" s="43"/>
      <c r="CO30" s="43"/>
      <c r="CP30" s="43"/>
      <c r="CQ30" s="43"/>
      <c r="CR30" s="43"/>
      <c r="CS30" s="483"/>
      <c r="CT30" s="483"/>
      <c r="CU30" s="483">
        <f t="shared" si="34"/>
        <v>0</v>
      </c>
      <c r="CV30" s="43">
        <f t="shared" si="39"/>
        <v>57259641.000000007</v>
      </c>
      <c r="CW30" s="17">
        <f t="shared" si="17"/>
        <v>10</v>
      </c>
      <c r="CX30" s="18" t="s">
        <v>7</v>
      </c>
      <c r="CY30" s="43">
        <f t="shared" si="40"/>
        <v>57259641.000000007</v>
      </c>
      <c r="CZ30" s="14">
        <f t="shared" si="41"/>
        <v>0</v>
      </c>
      <c r="DA30" s="66">
        <f t="shared" si="43"/>
        <v>57259641.000000007</v>
      </c>
    </row>
    <row r="31" spans="1:118" ht="15" customHeight="1" x14ac:dyDescent="0.2">
      <c r="A31" s="17">
        <f t="shared" si="0"/>
        <v>20</v>
      </c>
      <c r="B31" s="473" t="s">
        <v>297</v>
      </c>
      <c r="C31" s="473"/>
      <c r="D31" s="475" t="s">
        <v>315</v>
      </c>
      <c r="E31" s="356">
        <f>+'[26]G Lead Sheet'!E31</f>
        <v>9847.6674764216514</v>
      </c>
      <c r="G31" s="54">
        <f t="shared" si="1"/>
        <v>20</v>
      </c>
      <c r="H31" s="164" t="s">
        <v>51</v>
      </c>
      <c r="I31" s="192"/>
      <c r="J31" s="365"/>
      <c r="K31" s="52">
        <f>SUM(J29:J30)</f>
        <v>28069.637918799992</v>
      </c>
      <c r="L31" s="107">
        <f t="shared" si="13"/>
        <v>20</v>
      </c>
      <c r="M31" s="2" t="s">
        <v>312</v>
      </c>
      <c r="N31" s="483">
        <f>N18-N25</f>
        <v>0</v>
      </c>
      <c r="O31" s="17"/>
      <c r="P31"/>
      <c r="Q31"/>
      <c r="R31"/>
      <c r="S31" s="17">
        <f t="shared" si="3"/>
        <v>20</v>
      </c>
      <c r="T31" s="383" t="s">
        <v>161</v>
      </c>
      <c r="U31"/>
      <c r="V31" s="390"/>
      <c r="W31" s="43"/>
      <c r="X31" s="43"/>
      <c r="Y31" s="43"/>
      <c r="Z31" s="43"/>
      <c r="AA31" s="43"/>
      <c r="AI31" s="151"/>
      <c r="AJ31" s="151"/>
      <c r="AK31" s="151"/>
      <c r="AL31" s="151"/>
      <c r="AM31" s="151"/>
      <c r="AQ31"/>
      <c r="AR31" s="20"/>
      <c r="AS31" s="20"/>
      <c r="AT31" s="20"/>
      <c r="AU31" s="20"/>
      <c r="AV31" s="20"/>
      <c r="BA31" s="168"/>
      <c r="BB31" s="264"/>
      <c r="BC31" s="262"/>
      <c r="BD31" s="262"/>
      <c r="BE31" s="262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X31" s="51" t="s">
        <v>20</v>
      </c>
      <c r="BZ31" s="25"/>
      <c r="CA31" s="107">
        <f t="shared" ref="CA31" si="45">+CA30+1</f>
        <v>19</v>
      </c>
      <c r="CB31" s="59" t="s">
        <v>8</v>
      </c>
      <c r="CC31" s="495">
        <f>+'[25]Allocated (CBR)'!C27</f>
        <v>28681541.290000003</v>
      </c>
      <c r="CD31" s="297">
        <f>+E40</f>
        <v>300</v>
      </c>
      <c r="CE31" s="297">
        <f>J29</f>
        <v>19459.319538799995</v>
      </c>
      <c r="CF31" s="297"/>
      <c r="CG31" s="297"/>
      <c r="CH31" s="297">
        <f>V26</f>
        <v>-686143.07828078093</v>
      </c>
      <c r="CI31" s="297"/>
      <c r="CJ31" s="43">
        <f>AH25</f>
        <v>69660</v>
      </c>
      <c r="CK31" s="17">
        <f t="shared" si="15"/>
        <v>11</v>
      </c>
      <c r="CL31" s="59" t="s">
        <v>8</v>
      </c>
      <c r="CM31" s="43"/>
      <c r="CN31" s="297"/>
      <c r="CO31" s="43"/>
      <c r="CP31" s="43">
        <f>AZ12</f>
        <v>80668.137876548644</v>
      </c>
      <c r="CQ31" s="43"/>
      <c r="CR31" s="43"/>
      <c r="CS31" s="483"/>
      <c r="CT31" s="483"/>
      <c r="CU31" s="483">
        <f t="shared" si="34"/>
        <v>-516055.62086543225</v>
      </c>
      <c r="CV31" s="43">
        <f t="shared" si="39"/>
        <v>28165485.669134572</v>
      </c>
      <c r="CW31" s="17">
        <f t="shared" si="17"/>
        <v>11</v>
      </c>
      <c r="CX31" s="59" t="s">
        <v>60</v>
      </c>
      <c r="CY31" s="43">
        <f t="shared" si="40"/>
        <v>28681541.290000003</v>
      </c>
      <c r="CZ31" s="94">
        <f t="shared" si="41"/>
        <v>-516055.62086543225</v>
      </c>
      <c r="DA31" s="66">
        <f t="shared" si="43"/>
        <v>28165485.669134572</v>
      </c>
    </row>
    <row r="32" spans="1:118" ht="15" customHeight="1" thickBot="1" x14ac:dyDescent="0.25">
      <c r="A32" s="17">
        <f t="shared" si="0"/>
        <v>21</v>
      </c>
      <c r="B32" s="473" t="s">
        <v>298</v>
      </c>
      <c r="C32" s="473"/>
      <c r="D32" s="474">
        <v>87</v>
      </c>
      <c r="E32" s="356">
        <f>+'[26]G Lead Sheet'!E32</f>
        <v>16236.555340854167</v>
      </c>
      <c r="F32" s="159"/>
      <c r="G32" s="54">
        <f t="shared" si="1"/>
        <v>21</v>
      </c>
      <c r="H32" s="163"/>
      <c r="I32" s="192"/>
      <c r="J32" s="185"/>
      <c r="K32" s="43"/>
      <c r="L32" s="107">
        <f t="shared" si="13"/>
        <v>21</v>
      </c>
      <c r="M32" s="18" t="s">
        <v>313</v>
      </c>
      <c r="N32" s="485">
        <f>-SUM(N29:N31)</f>
        <v>-206975.50512730144</v>
      </c>
      <c r="O32" s="17"/>
      <c r="P32"/>
      <c r="Q32"/>
      <c r="R32"/>
      <c r="S32" s="17">
        <f t="shared" si="3"/>
        <v>21</v>
      </c>
      <c r="T32" s="373" t="s">
        <v>162</v>
      </c>
      <c r="U32"/>
      <c r="V32" s="26">
        <f>+'[18]Lead 3.05 '!E29</f>
        <v>-5081318.04</v>
      </c>
      <c r="W32" s="268"/>
      <c r="X32" s="268"/>
      <c r="Y32" s="268"/>
      <c r="Z32" s="268"/>
      <c r="AA32" s="268"/>
      <c r="AI32" s="152"/>
      <c r="AJ32" s="152"/>
      <c r="AK32" s="152"/>
      <c r="AL32" s="152"/>
      <c r="AM32" s="152"/>
      <c r="AQ32"/>
      <c r="BA32" s="168"/>
      <c r="BB32" s="264"/>
      <c r="BC32" s="262"/>
      <c r="BD32" s="262"/>
      <c r="BE32" s="262"/>
      <c r="BW32" s="1"/>
      <c r="BZ32" s="25"/>
      <c r="CA32" s="107">
        <f t="shared" ref="CA32" si="46">+CA31+1</f>
        <v>20</v>
      </c>
      <c r="CB32" s="18" t="s">
        <v>9</v>
      </c>
      <c r="CC32" s="495">
        <f>+'[25]Allocated (CBR)'!C28</f>
        <v>7307589.8199999994</v>
      </c>
      <c r="CD32" s="43"/>
      <c r="CE32" s="43"/>
      <c r="CF32" s="43"/>
      <c r="CG32" s="43"/>
      <c r="CH32" s="43">
        <f>V32</f>
        <v>-5081318.04</v>
      </c>
      <c r="CI32" s="43"/>
      <c r="CJ32" s="43"/>
      <c r="CK32" s="17">
        <f t="shared" si="15"/>
        <v>12</v>
      </c>
      <c r="CL32" s="18" t="s">
        <v>9</v>
      </c>
      <c r="CM32" s="43"/>
      <c r="CN32" s="43"/>
      <c r="CO32" s="43"/>
      <c r="CP32" s="43"/>
      <c r="CQ32" s="43"/>
      <c r="CR32" s="43"/>
      <c r="CS32" s="483"/>
      <c r="CT32" s="483"/>
      <c r="CU32" s="483">
        <f t="shared" si="34"/>
        <v>-5081318.04</v>
      </c>
      <c r="CV32" s="43">
        <f t="shared" si="39"/>
        <v>2226271.7799999993</v>
      </c>
      <c r="CW32" s="17">
        <f t="shared" si="17"/>
        <v>12</v>
      </c>
      <c r="CX32" s="18" t="s">
        <v>9</v>
      </c>
      <c r="CY32" s="43">
        <f t="shared" si="40"/>
        <v>7307589.8199999994</v>
      </c>
      <c r="CZ32" s="94">
        <f t="shared" si="41"/>
        <v>-5081318.04</v>
      </c>
      <c r="DA32" s="66">
        <f t="shared" si="43"/>
        <v>2226271.7799999993</v>
      </c>
    </row>
    <row r="33" spans="1:118" s="24" customFormat="1" ht="15" customHeight="1" thickTop="1" x14ac:dyDescent="0.2">
      <c r="A33" s="17">
        <f t="shared" si="0"/>
        <v>22</v>
      </c>
      <c r="B33" s="473" t="s">
        <v>299</v>
      </c>
      <c r="C33" s="473"/>
      <c r="D33" s="475" t="s">
        <v>316</v>
      </c>
      <c r="E33" s="356">
        <f>+'[26]G Lead Sheet'!E33</f>
        <v>9888.0155527357201</v>
      </c>
      <c r="F33" s="159"/>
      <c r="G33" s="54">
        <f t="shared" si="1"/>
        <v>22</v>
      </c>
      <c r="H33" s="163" t="s">
        <v>143</v>
      </c>
      <c r="I33" s="196">
        <f>+BY14</f>
        <v>3.8345999999999998E-2</v>
      </c>
      <c r="J33" s="138">
        <f>+K27*I33</f>
        <v>165085.63429973996</v>
      </c>
      <c r="K33" s="43"/>
      <c r="L33"/>
      <c r="M33"/>
      <c r="N33"/>
      <c r="O33" s="17"/>
      <c r="P33"/>
      <c r="Q33"/>
      <c r="R33"/>
      <c r="S33" s="17">
        <f t="shared" si="3"/>
        <v>22</v>
      </c>
      <c r="T33" s="373" t="s">
        <v>163</v>
      </c>
      <c r="U33"/>
      <c r="V33" s="306">
        <f>+'[18]Lead 3.05 '!E30</f>
        <v>-17243356.620000001</v>
      </c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152"/>
      <c r="AJ33" s="152"/>
      <c r="AK33" s="152"/>
      <c r="AL33" s="152"/>
      <c r="AM33" s="152"/>
      <c r="AN33" s="2"/>
      <c r="AO33" s="2"/>
      <c r="AP33" s="2"/>
      <c r="AQ33"/>
      <c r="AR33" s="147"/>
      <c r="AS33" s="147"/>
      <c r="AT33" s="147"/>
      <c r="AU33" s="147"/>
      <c r="AV33" s="147"/>
      <c r="AW33" s="159"/>
      <c r="AX33" s="159"/>
      <c r="AY33" s="159"/>
      <c r="AZ33" s="159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2"/>
      <c r="BV33" s="2"/>
      <c r="BW33" s="1"/>
      <c r="BX33" s="2"/>
      <c r="BY33" s="2"/>
      <c r="BZ33" s="25"/>
      <c r="CA33" s="107">
        <f t="shared" ref="CA33" si="47">+CA32+1</f>
        <v>21</v>
      </c>
      <c r="CB33" s="18" t="s">
        <v>10</v>
      </c>
      <c r="CC33" s="495">
        <f>+'[25]Allocated (CBR)'!C29</f>
        <v>17243356.620000001</v>
      </c>
      <c r="CD33" s="43"/>
      <c r="CE33" s="43"/>
      <c r="CF33" s="43"/>
      <c r="CG33" s="43"/>
      <c r="CH33" s="297">
        <f>V33</f>
        <v>-17243356.620000001</v>
      </c>
      <c r="CI33" s="297"/>
      <c r="CJ33" s="297"/>
      <c r="CK33" s="17">
        <f t="shared" si="15"/>
        <v>13</v>
      </c>
      <c r="CL33" s="18" t="s">
        <v>10</v>
      </c>
      <c r="CM33" s="297"/>
      <c r="CN33" s="43"/>
      <c r="CO33" s="297"/>
      <c r="CP33" s="297"/>
      <c r="CQ33" s="297"/>
      <c r="CR33" s="297"/>
      <c r="CS33" s="297"/>
      <c r="CT33" s="297"/>
      <c r="CU33" s="297">
        <f t="shared" si="34"/>
        <v>-17243356.620000001</v>
      </c>
      <c r="CV33" s="43">
        <f t="shared" si="39"/>
        <v>0</v>
      </c>
      <c r="CW33" s="17">
        <f t="shared" si="17"/>
        <v>13</v>
      </c>
      <c r="CX33" s="18" t="s">
        <v>10</v>
      </c>
      <c r="CY33" s="43">
        <f t="shared" si="40"/>
        <v>17243356.620000001</v>
      </c>
      <c r="CZ33" s="94">
        <f t="shared" si="41"/>
        <v>-17243356.620000001</v>
      </c>
      <c r="DA33" s="66">
        <f t="shared" si="43"/>
        <v>0</v>
      </c>
      <c r="DC33"/>
      <c r="DD33"/>
      <c r="DE33"/>
      <c r="DF33"/>
      <c r="DG33"/>
      <c r="DH33"/>
      <c r="DI33"/>
      <c r="DJ33"/>
      <c r="DK33"/>
      <c r="DL33"/>
      <c r="DM33"/>
      <c r="DN33"/>
    </row>
    <row r="34" spans="1:118" ht="15" customHeight="1" x14ac:dyDescent="0.2">
      <c r="A34" s="17">
        <f t="shared" si="0"/>
        <v>23</v>
      </c>
      <c r="B34" s="476" t="s">
        <v>300</v>
      </c>
      <c r="C34" s="476"/>
      <c r="D34" s="477" t="s">
        <v>317</v>
      </c>
      <c r="E34" s="356">
        <f>+'[26]G Lead Sheet'!E34</f>
        <v>14175.964111303434</v>
      </c>
      <c r="G34" s="54">
        <f t="shared" si="1"/>
        <v>23</v>
      </c>
      <c r="H34" s="164"/>
      <c r="I34" s="192"/>
      <c r="J34" s="366"/>
      <c r="K34" s="43"/>
      <c r="L34"/>
      <c r="M34"/>
      <c r="N34"/>
      <c r="O34"/>
      <c r="P34"/>
      <c r="Q34"/>
      <c r="R34"/>
      <c r="S34" s="17">
        <f t="shared" si="3"/>
        <v>23</v>
      </c>
      <c r="T34" s="373" t="s">
        <v>227</v>
      </c>
      <c r="U34"/>
      <c r="V34" s="306">
        <f>+'[18]Lead 3.05 '!E31</f>
        <v>-18159465.670000002</v>
      </c>
      <c r="W34" s="134"/>
      <c r="X34" s="134"/>
      <c r="Y34" s="134"/>
      <c r="Z34" s="134"/>
      <c r="AA34" s="134"/>
      <c r="AB34" s="24"/>
      <c r="AC34" s="24"/>
      <c r="AD34" s="24"/>
      <c r="AE34" s="24"/>
      <c r="AF34" s="24"/>
      <c r="AG34" s="24"/>
      <c r="AH34" s="24"/>
      <c r="AI34" s="152"/>
      <c r="AJ34" s="152"/>
      <c r="AK34" s="152"/>
      <c r="AL34" s="152"/>
      <c r="AM34" s="152"/>
      <c r="AQ34"/>
      <c r="BU34" s="82"/>
      <c r="BW34" s="1"/>
      <c r="BY34" s="126"/>
      <c r="BZ34" s="25"/>
      <c r="CA34" s="107">
        <f t="shared" ref="CA34" si="48">+CA33+1</f>
        <v>22</v>
      </c>
      <c r="CB34" s="18" t="s">
        <v>11</v>
      </c>
      <c r="CC34" s="495">
        <f>+'[25]Allocated (CBR)'!C30</f>
        <v>58940227.159999996</v>
      </c>
      <c r="CD34" s="43">
        <f>+E41</f>
        <v>133</v>
      </c>
      <c r="CE34" s="43">
        <f>J30</f>
        <v>8610.3183799999988</v>
      </c>
      <c r="CF34" s="43"/>
      <c r="CG34" s="43"/>
      <c r="CH34" s="43">
        <f>V27</f>
        <v>-303603.13198264648</v>
      </c>
      <c r="CI34" s="43">
        <f>AA21</f>
        <v>204279.49899999995</v>
      </c>
      <c r="CJ34" s="43"/>
      <c r="CK34" s="17">
        <f t="shared" si="15"/>
        <v>14</v>
      </c>
      <c r="CL34" s="18" t="s">
        <v>11</v>
      </c>
      <c r="CM34" s="43">
        <f>AM13</f>
        <v>1740210.8322735324</v>
      </c>
      <c r="CN34" s="43">
        <f>AQ18</f>
        <v>-29895.090020000236</v>
      </c>
      <c r="CO34" s="43">
        <f>AV14</f>
        <v>-13606.903331575348</v>
      </c>
      <c r="CP34" s="43"/>
      <c r="CQ34" s="43">
        <f>BE15</f>
        <v>130261.29013211094</v>
      </c>
      <c r="CR34" s="43">
        <f>BJ16</f>
        <v>-233710.15422121563</v>
      </c>
      <c r="CS34" s="483"/>
      <c r="CT34" s="483">
        <f>BT14</f>
        <v>-18544.370000000003</v>
      </c>
      <c r="CU34" s="483">
        <f t="shared" si="34"/>
        <v>1484135.2902302053</v>
      </c>
      <c r="CV34" s="43">
        <f t="shared" si="39"/>
        <v>60424362.450230204</v>
      </c>
      <c r="CW34" s="17">
        <f t="shared" si="17"/>
        <v>14</v>
      </c>
      <c r="CX34" s="18" t="s">
        <v>11</v>
      </c>
      <c r="CY34" s="43">
        <f t="shared" si="40"/>
        <v>58940227.159999996</v>
      </c>
      <c r="CZ34" s="94">
        <f t="shared" si="41"/>
        <v>1484135.2902302053</v>
      </c>
      <c r="DA34" s="66">
        <f t="shared" si="43"/>
        <v>60424362.450230204</v>
      </c>
    </row>
    <row r="35" spans="1:118" ht="15" customHeight="1" x14ac:dyDescent="0.2">
      <c r="A35" s="17">
        <f t="shared" si="0"/>
        <v>24</v>
      </c>
      <c r="B35" s="478" t="s">
        <v>140</v>
      </c>
      <c r="C35" s="478"/>
      <c r="D35" s="479"/>
      <c r="E35" s="26"/>
      <c r="F35" s="324">
        <f>SUM(E29:E34)</f>
        <v>66278.028092253473</v>
      </c>
      <c r="G35" s="54">
        <f t="shared" si="1"/>
        <v>24</v>
      </c>
      <c r="H35" s="164" t="s">
        <v>144</v>
      </c>
      <c r="I35" s="159"/>
      <c r="J35" s="185"/>
      <c r="K35" s="186">
        <f>SUM(J33:J34)</f>
        <v>165085.63429973996</v>
      </c>
      <c r="L35"/>
      <c r="M35"/>
      <c r="N35"/>
      <c r="O35"/>
      <c r="P35"/>
      <c r="Q35"/>
      <c r="R35"/>
      <c r="S35" s="17">
        <f t="shared" si="3"/>
        <v>24</v>
      </c>
      <c r="T35" s="373" t="s">
        <v>164</v>
      </c>
      <c r="U35"/>
      <c r="V35" s="306">
        <f>+'[18]Lead 3.05 '!E32</f>
        <v>-61119638.789999999</v>
      </c>
      <c r="AI35" s="152"/>
      <c r="AJ35" s="152"/>
      <c r="AK35" s="152"/>
      <c r="AL35" s="152"/>
      <c r="AM35" s="152"/>
      <c r="AQ35"/>
      <c r="AR35" s="2"/>
      <c r="AS35" s="2"/>
      <c r="AT35" s="2"/>
      <c r="AU35" s="2"/>
      <c r="AV35" s="2"/>
      <c r="BF35" s="2"/>
      <c r="BG35" s="2"/>
      <c r="BH35" s="2"/>
      <c r="BI35" s="2"/>
      <c r="BJ35" s="2"/>
      <c r="BK35" s="479"/>
      <c r="BL35" s="479"/>
      <c r="BM35" s="479"/>
      <c r="BN35" s="479"/>
      <c r="BO35" s="479"/>
      <c r="BP35" s="479"/>
      <c r="BQ35" s="479"/>
      <c r="BR35" s="479"/>
      <c r="BS35" s="479"/>
      <c r="BT35" s="479"/>
      <c r="BU35" s="82"/>
      <c r="BW35" s="1"/>
      <c r="BY35" s="126"/>
      <c r="CA35" s="107">
        <f t="shared" ref="CA35" si="49">+CA34+1</f>
        <v>23</v>
      </c>
      <c r="CB35" s="18" t="s">
        <v>90</v>
      </c>
      <c r="CC35" s="495">
        <f>+'[25]Allocated (CBR)'!C31</f>
        <v>133374904.27999999</v>
      </c>
      <c r="CD35" s="43"/>
      <c r="CE35" s="43"/>
      <c r="CF35" s="43"/>
      <c r="CG35" s="43"/>
      <c r="CJ35" s="43"/>
      <c r="CK35" s="17">
        <f t="shared" si="15"/>
        <v>15</v>
      </c>
      <c r="CL35" s="18" t="s">
        <v>90</v>
      </c>
      <c r="CM35" s="43"/>
      <c r="CN35" s="43"/>
      <c r="CO35" s="43"/>
      <c r="CP35" s="43"/>
      <c r="CQ35" s="43"/>
      <c r="CR35" s="43"/>
      <c r="CS35" s="483"/>
      <c r="CT35" s="483">
        <f>BT15</f>
        <v>-831691.83336941712</v>
      </c>
      <c r="CU35" s="483">
        <f t="shared" si="34"/>
        <v>-831691.83336941712</v>
      </c>
      <c r="CV35" s="43">
        <f t="shared" si="39"/>
        <v>132543212.44663057</v>
      </c>
      <c r="CW35" s="17">
        <f t="shared" si="17"/>
        <v>15</v>
      </c>
      <c r="CX35" s="18" t="s">
        <v>90</v>
      </c>
      <c r="CY35" s="43">
        <f t="shared" si="40"/>
        <v>133374904.27999999</v>
      </c>
      <c r="CZ35" s="94">
        <f t="shared" si="41"/>
        <v>-831691.83336941712</v>
      </c>
      <c r="DA35" s="66">
        <f t="shared" si="43"/>
        <v>132543212.44663057</v>
      </c>
    </row>
    <row r="36" spans="1:118" ht="15" customHeight="1" x14ac:dyDescent="0.2">
      <c r="A36" s="17">
        <f t="shared" si="0"/>
        <v>25</v>
      </c>
      <c r="B36" s="159"/>
      <c r="C36" s="159"/>
      <c r="D36" s="159"/>
      <c r="E36" s="26"/>
      <c r="F36" s="303"/>
      <c r="G36" s="54">
        <f t="shared" si="1"/>
        <v>25</v>
      </c>
      <c r="H36" s="163"/>
      <c r="I36" s="159"/>
      <c r="J36" s="159"/>
      <c r="K36" s="366"/>
      <c r="L36"/>
      <c r="M36"/>
      <c r="N36"/>
      <c r="O36"/>
      <c r="P36"/>
      <c r="Q36"/>
      <c r="R36"/>
      <c r="S36" s="17">
        <f t="shared" si="3"/>
        <v>25</v>
      </c>
      <c r="T36" s="384" t="s">
        <v>223</v>
      </c>
      <c r="U36"/>
      <c r="V36" s="306">
        <f>+'[18]Lead 3.05 '!E33</f>
        <v>-353059.98</v>
      </c>
      <c r="AI36" s="152"/>
      <c r="AJ36" s="152"/>
      <c r="AK36" s="152"/>
      <c r="AL36" s="152"/>
      <c r="AM36" s="152"/>
      <c r="AN36" s="24"/>
      <c r="AO36" s="24"/>
      <c r="AP36" s="24"/>
      <c r="AQ36"/>
      <c r="AR36" s="149"/>
      <c r="AS36" s="149"/>
      <c r="AT36" s="149"/>
      <c r="AU36" s="149"/>
      <c r="AV36" s="149"/>
      <c r="BA36" s="2" t="s">
        <v>20</v>
      </c>
      <c r="BF36" s="149"/>
      <c r="BG36" s="149"/>
      <c r="BH36" s="149"/>
      <c r="BI36" s="149"/>
      <c r="BJ36" s="149"/>
      <c r="BK36" s="347"/>
      <c r="BL36" s="347"/>
      <c r="BM36" s="347"/>
      <c r="BN36" s="347"/>
      <c r="BO36" s="347"/>
      <c r="BP36" s="347"/>
      <c r="BQ36" s="347"/>
      <c r="BR36" s="347"/>
      <c r="BS36" s="347"/>
      <c r="BT36" s="347"/>
      <c r="BU36" s="82"/>
      <c r="BW36" s="1"/>
      <c r="BY36" s="126"/>
      <c r="CA36" s="107">
        <f t="shared" ref="CA36" si="50">+CA35+1</f>
        <v>24</v>
      </c>
      <c r="CB36" s="18" t="s">
        <v>39</v>
      </c>
      <c r="CC36" s="495">
        <f>+'[25]Allocated (CBR)'!C32</f>
        <v>42952436.620000005</v>
      </c>
      <c r="CD36" s="43"/>
      <c r="CE36" s="43"/>
      <c r="CF36" s="43"/>
      <c r="CG36" s="43"/>
      <c r="CJ36" s="43"/>
      <c r="CK36" s="17">
        <f t="shared" si="15"/>
        <v>16</v>
      </c>
      <c r="CL36" s="18" t="s">
        <v>39</v>
      </c>
      <c r="CM36" s="43"/>
      <c r="CO36" s="43"/>
      <c r="CP36" s="43"/>
      <c r="CQ36" s="43"/>
      <c r="CR36" s="43"/>
      <c r="CS36" s="483"/>
      <c r="CT36" s="483"/>
      <c r="CU36" s="483">
        <f t="shared" si="34"/>
        <v>0</v>
      </c>
      <c r="CV36" s="43">
        <f t="shared" si="39"/>
        <v>42952436.620000005</v>
      </c>
      <c r="CW36" s="17">
        <f t="shared" si="17"/>
        <v>16</v>
      </c>
      <c r="CX36" s="18" t="s">
        <v>39</v>
      </c>
      <c r="CY36" s="43">
        <f t="shared" si="40"/>
        <v>42952436.620000005</v>
      </c>
      <c r="CZ36" s="14">
        <f>CU36</f>
        <v>0</v>
      </c>
      <c r="DA36" s="66">
        <f>+CY36+CZ36</f>
        <v>42952436.620000005</v>
      </c>
    </row>
    <row r="37" spans="1:118" ht="15" customHeight="1" x14ac:dyDescent="0.2">
      <c r="A37" s="17">
        <f t="shared" si="0"/>
        <v>26</v>
      </c>
      <c r="B37" s="205" t="s">
        <v>150</v>
      </c>
      <c r="G37" s="54">
        <f t="shared" si="1"/>
        <v>26</v>
      </c>
      <c r="H37" s="207" t="s">
        <v>380</v>
      </c>
      <c r="I37" s="159"/>
      <c r="J37" s="159"/>
      <c r="K37" s="386"/>
      <c r="L37"/>
      <c r="M37"/>
      <c r="N37"/>
      <c r="O37"/>
      <c r="P37"/>
      <c r="Q37"/>
      <c r="R37"/>
      <c r="S37" s="17">
        <f t="shared" si="3"/>
        <v>26</v>
      </c>
      <c r="T37" s="373" t="s">
        <v>219</v>
      </c>
      <c r="U37"/>
      <c r="V37" s="306">
        <f>+'[18]Lead 3.05 '!E34</f>
        <v>-42936417.390000001</v>
      </c>
      <c r="W37" s="56"/>
      <c r="X37" s="56"/>
      <c r="Y37" s="56"/>
      <c r="Z37" s="56"/>
      <c r="AA37" s="56"/>
      <c r="AB37" s="2" t="s">
        <v>61</v>
      </c>
      <c r="AI37" s="152"/>
      <c r="AJ37" s="152"/>
      <c r="AK37" s="152"/>
      <c r="AL37" s="152"/>
      <c r="AM37" s="152"/>
      <c r="AQ37"/>
      <c r="AR37" s="150"/>
      <c r="AS37" s="150"/>
      <c r="AT37" s="150"/>
      <c r="AU37" s="150"/>
      <c r="AV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82"/>
      <c r="BW37" s="1"/>
      <c r="BY37" s="126"/>
      <c r="CA37" s="107">
        <f t="shared" ref="CA37" si="51">+CA36+1</f>
        <v>25</v>
      </c>
      <c r="CB37" s="18" t="s">
        <v>62</v>
      </c>
      <c r="CC37" s="495">
        <f>+'[25]Allocated (CBR)'!C33</f>
        <v>0</v>
      </c>
      <c r="CD37" s="43"/>
      <c r="CE37" s="43"/>
      <c r="CF37" s="43"/>
      <c r="CG37" s="43"/>
      <c r="CH37" s="43"/>
      <c r="CI37" s="43"/>
      <c r="CJ37" s="43"/>
      <c r="CK37" s="17">
        <f t="shared" si="15"/>
        <v>17</v>
      </c>
      <c r="CL37" s="18" t="s">
        <v>62</v>
      </c>
      <c r="CM37" s="43"/>
      <c r="CN37" s="43"/>
      <c r="CO37" s="43"/>
      <c r="CP37" s="43"/>
      <c r="CQ37" s="43"/>
      <c r="CR37" s="43"/>
      <c r="CS37" s="483"/>
      <c r="CT37" s="483"/>
      <c r="CU37" s="483">
        <f t="shared" si="34"/>
        <v>0</v>
      </c>
      <c r="CV37" s="43">
        <f t="shared" si="39"/>
        <v>0</v>
      </c>
      <c r="CW37" s="17">
        <f t="shared" si="17"/>
        <v>17</v>
      </c>
      <c r="CX37" s="18" t="s">
        <v>62</v>
      </c>
      <c r="CY37" s="43">
        <f t="shared" si="40"/>
        <v>0</v>
      </c>
      <c r="CZ37" s="14">
        <f t="shared" si="41"/>
        <v>0</v>
      </c>
      <c r="DA37" s="66">
        <f t="shared" si="43"/>
        <v>0</v>
      </c>
    </row>
    <row r="38" spans="1:118" ht="15" customHeight="1" x14ac:dyDescent="0.2">
      <c r="A38" s="17">
        <f t="shared" si="0"/>
        <v>27</v>
      </c>
      <c r="B38" s="159" t="s">
        <v>151</v>
      </c>
      <c r="E38" s="300"/>
      <c r="F38" s="159"/>
      <c r="G38" s="54">
        <f t="shared" si="1"/>
        <v>27</v>
      </c>
      <c r="H38" s="274"/>
      <c r="I38" s="159"/>
      <c r="J38" s="363">
        <f>+'[22]3.02G'!$D$37</f>
        <v>0</v>
      </c>
      <c r="K38" s="386"/>
      <c r="L38"/>
      <c r="M38"/>
      <c r="N38"/>
      <c r="O38"/>
      <c r="P38"/>
      <c r="Q38"/>
      <c r="R38"/>
      <c r="S38" s="17">
        <f t="shared" si="3"/>
        <v>27</v>
      </c>
      <c r="T38" s="377" t="s">
        <v>109</v>
      </c>
      <c r="U38"/>
      <c r="V38" s="362">
        <f>SUM(V32:V37)</f>
        <v>-144893256.49000001</v>
      </c>
      <c r="W38" s="56"/>
      <c r="X38" s="56"/>
      <c r="Y38" s="56"/>
      <c r="Z38" s="56"/>
      <c r="AA38" s="56"/>
      <c r="AQ38"/>
      <c r="AR38" s="37"/>
      <c r="AS38" s="37"/>
      <c r="AT38" s="37"/>
      <c r="AU38" s="37"/>
      <c r="AV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82"/>
      <c r="BW38" s="1"/>
      <c r="BY38" s="126"/>
      <c r="CA38" s="107">
        <f t="shared" ref="CA38" si="52">+CA37+1</f>
        <v>26</v>
      </c>
      <c r="CB38" s="18" t="s">
        <v>12</v>
      </c>
      <c r="CC38" s="495">
        <f>+'[25]Allocated (CBR)'!C34</f>
        <v>-3762566.3199999989</v>
      </c>
      <c r="CD38" s="43"/>
      <c r="CE38" s="43">
        <f>+K39</f>
        <v>0</v>
      </c>
      <c r="CF38" s="43"/>
      <c r="CG38" s="43"/>
      <c r="CH38" s="43"/>
      <c r="CI38" s="43"/>
      <c r="CJ38" s="43"/>
      <c r="CK38" s="17">
        <f t="shared" si="15"/>
        <v>18</v>
      </c>
      <c r="CL38" s="18" t="s">
        <v>12</v>
      </c>
      <c r="CM38" s="43"/>
      <c r="CN38" s="43"/>
      <c r="CO38" s="43"/>
      <c r="CP38" s="43"/>
      <c r="CQ38" s="43"/>
      <c r="CR38" s="43"/>
      <c r="CS38" s="483"/>
      <c r="CT38" s="483"/>
      <c r="CU38" s="483">
        <f t="shared" si="34"/>
        <v>0</v>
      </c>
      <c r="CV38" s="43">
        <f t="shared" si="39"/>
        <v>-3762566.3199999989</v>
      </c>
      <c r="CW38" s="17">
        <f t="shared" si="17"/>
        <v>18</v>
      </c>
      <c r="CX38" s="18" t="s">
        <v>12</v>
      </c>
      <c r="CY38" s="43">
        <f t="shared" si="40"/>
        <v>-3762566.3199999989</v>
      </c>
      <c r="CZ38" s="14">
        <f t="shared" si="41"/>
        <v>0</v>
      </c>
      <c r="DA38" s="66">
        <f t="shared" si="43"/>
        <v>-3762566.3199999989</v>
      </c>
    </row>
    <row r="39" spans="1:118" ht="15" customHeight="1" x14ac:dyDescent="0.2">
      <c r="A39" s="17">
        <f t="shared" si="0"/>
        <v>28</v>
      </c>
      <c r="E39" s="26"/>
      <c r="F39" s="303">
        <f>SUM(E38:E38)</f>
        <v>0</v>
      </c>
      <c r="G39" s="54">
        <f t="shared" si="1"/>
        <v>28</v>
      </c>
      <c r="H39" s="28" t="s">
        <v>381</v>
      </c>
      <c r="I39" s="159"/>
      <c r="J39" s="347"/>
      <c r="K39" s="309">
        <f>SUM(J35:J38)</f>
        <v>0</v>
      </c>
      <c r="L39"/>
      <c r="M39"/>
      <c r="N39"/>
      <c r="O39"/>
      <c r="P39"/>
      <c r="Q39"/>
      <c r="R39"/>
      <c r="S39" s="17">
        <f t="shared" si="3"/>
        <v>28</v>
      </c>
      <c r="T39" s="385"/>
      <c r="U39"/>
      <c r="V39" s="391"/>
      <c r="W39" s="56"/>
      <c r="X39" s="56"/>
      <c r="Y39" s="56"/>
      <c r="Z39" s="56"/>
      <c r="AA39" s="56"/>
      <c r="AQ39"/>
      <c r="AR39" s="37"/>
      <c r="AS39" s="37"/>
      <c r="AT39" s="37"/>
      <c r="AU39" s="37"/>
      <c r="AV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82"/>
      <c r="BW39" s="1"/>
      <c r="BY39" s="126"/>
      <c r="CA39" s="107">
        <f t="shared" ref="CA39" si="53">+CA38+1</f>
        <v>27</v>
      </c>
      <c r="CB39" s="18" t="s">
        <v>13</v>
      </c>
      <c r="CC39" s="495">
        <f>+'[25]Allocated (CBR)'!C35</f>
        <v>102014786.17999999</v>
      </c>
      <c r="CD39" s="43">
        <f>+E44</f>
        <v>2541</v>
      </c>
      <c r="CE39" s="43">
        <f>J33</f>
        <v>165085.63429973996</v>
      </c>
      <c r="CF39" s="43"/>
      <c r="CG39" s="43"/>
      <c r="CH39" s="372">
        <f>V28+V37+V34</f>
        <v>-66916865.909503281</v>
      </c>
      <c r="CI39" s="43"/>
      <c r="CJ39" s="43"/>
      <c r="CK39" s="17">
        <f t="shared" si="15"/>
        <v>19</v>
      </c>
      <c r="CL39" s="18" t="s">
        <v>13</v>
      </c>
      <c r="CM39" s="43">
        <f>AM15</f>
        <v>150006.17374197851</v>
      </c>
      <c r="CN39" s="43">
        <f>AQ14</f>
        <v>-1206.4759999960661</v>
      </c>
      <c r="CO39" s="43"/>
      <c r="CP39" s="43"/>
      <c r="CQ39" s="43"/>
      <c r="CR39" s="43"/>
      <c r="CS39" s="483"/>
      <c r="CT39" s="483"/>
      <c r="CU39" s="483">
        <f t="shared" si="34"/>
        <v>-66600439.577461556</v>
      </c>
      <c r="CV39" s="43">
        <f t="shared" si="39"/>
        <v>35414346.602538437</v>
      </c>
      <c r="CW39" s="17">
        <f t="shared" si="17"/>
        <v>19</v>
      </c>
      <c r="CX39" s="18" t="s">
        <v>13</v>
      </c>
      <c r="CY39" s="43">
        <f t="shared" si="40"/>
        <v>102014786.17999999</v>
      </c>
      <c r="CZ39" s="94">
        <f t="shared" si="41"/>
        <v>-66600439.577461556</v>
      </c>
      <c r="DA39" s="66">
        <f t="shared" si="43"/>
        <v>35414346.602538437</v>
      </c>
    </row>
    <row r="40" spans="1:118" ht="15" customHeight="1" x14ac:dyDescent="0.2">
      <c r="A40" s="17">
        <f t="shared" si="0"/>
        <v>29</v>
      </c>
      <c r="B40" s="163" t="s">
        <v>141</v>
      </c>
      <c r="C40" s="163"/>
      <c r="D40" s="196">
        <f>+BY12</f>
        <v>4.5199999999999997E-3</v>
      </c>
      <c r="E40" s="65">
        <f>ROUND(F35*D40,0)</f>
        <v>300</v>
      </c>
      <c r="F40" s="43"/>
      <c r="G40" s="54"/>
      <c r="H40" s="195"/>
      <c r="I40" s="184"/>
      <c r="J40" s="138"/>
      <c r="K40" s="352"/>
      <c r="L40"/>
      <c r="M40"/>
      <c r="N40"/>
      <c r="O40"/>
      <c r="P40"/>
      <c r="Q40"/>
      <c r="R40"/>
      <c r="S40" s="17">
        <f t="shared" si="3"/>
        <v>29</v>
      </c>
      <c r="T40" s="376" t="s">
        <v>165</v>
      </c>
      <c r="V40" s="268">
        <f>-V23-V29-V38</f>
        <v>142710.29913073778</v>
      </c>
      <c r="W40" s="37"/>
      <c r="X40" s="37"/>
      <c r="Y40" s="37"/>
      <c r="Z40" s="37"/>
      <c r="AA40" s="37"/>
      <c r="AQ40"/>
      <c r="AR40" s="151"/>
      <c r="AS40" s="151"/>
      <c r="AT40" s="151"/>
      <c r="AU40" s="151"/>
      <c r="AV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82"/>
      <c r="BW40" s="1"/>
      <c r="BY40" s="126"/>
      <c r="CA40" s="107">
        <f t="shared" ref="CA40" si="54">+CA39+1</f>
        <v>28</v>
      </c>
      <c r="CB40" s="18" t="s">
        <v>14</v>
      </c>
      <c r="CC40" s="495">
        <f>+'[25]Allocated (CBR)'!C36</f>
        <v>23884435.68</v>
      </c>
      <c r="CD40" s="43">
        <f>+F49</f>
        <v>13294</v>
      </c>
      <c r="CE40" s="43">
        <f>K43</f>
        <v>863521</v>
      </c>
      <c r="CF40" s="43">
        <f>N29</f>
        <v>5367561.7629572973</v>
      </c>
      <c r="CG40" s="43">
        <f>R23</f>
        <v>-12902310.123364996</v>
      </c>
      <c r="CH40" s="43">
        <f>V41</f>
        <v>29969.162817454933</v>
      </c>
      <c r="CI40" s="43">
        <f>AA23</f>
        <v>-42898.694789999987</v>
      </c>
      <c r="CJ40" s="43">
        <f>AH28</f>
        <v>-14629</v>
      </c>
      <c r="CK40" s="17">
        <f t="shared" si="15"/>
        <v>20</v>
      </c>
      <c r="CL40" s="18" t="s">
        <v>14</v>
      </c>
      <c r="CM40" s="43">
        <f>AM20</f>
        <v>-396946</v>
      </c>
      <c r="CN40" s="43">
        <f>AQ24</f>
        <v>6531.3288641992231</v>
      </c>
      <c r="CO40" s="43">
        <f>AV18</f>
        <v>2857.449699630823</v>
      </c>
      <c r="CP40" s="43"/>
      <c r="CQ40" s="43">
        <f>BE18</f>
        <v>-27354.870927743297</v>
      </c>
      <c r="CR40" s="43">
        <f>BJ17</f>
        <v>49079</v>
      </c>
      <c r="CS40" s="483"/>
      <c r="CT40" s="483">
        <f>BT16</f>
        <v>178664.25850757759</v>
      </c>
      <c r="CU40" s="483">
        <f t="shared" si="34"/>
        <v>-6872660.7262365799</v>
      </c>
      <c r="CV40" s="43">
        <f t="shared" si="39"/>
        <v>17011774.953763418</v>
      </c>
      <c r="CW40" s="17">
        <f t="shared" si="17"/>
        <v>20</v>
      </c>
      <c r="CX40" s="18" t="s">
        <v>14</v>
      </c>
      <c r="CY40" s="43">
        <f t="shared" si="40"/>
        <v>23884435.68</v>
      </c>
      <c r="CZ40" s="94">
        <f t="shared" si="41"/>
        <v>-6872660.7262365799</v>
      </c>
      <c r="DA40" s="66">
        <f t="shared" si="43"/>
        <v>17011774.953763418</v>
      </c>
    </row>
    <row r="41" spans="1:118" ht="15" customHeight="1" x14ac:dyDescent="0.2">
      <c r="A41" s="17">
        <f t="shared" si="0"/>
        <v>30</v>
      </c>
      <c r="B41" s="163" t="s">
        <v>142</v>
      </c>
      <c r="C41" s="163"/>
      <c r="D41" s="196">
        <f>+BY13</f>
        <v>2E-3</v>
      </c>
      <c r="E41" s="67">
        <f>ROUND(F35*D41,0)</f>
        <v>133</v>
      </c>
      <c r="F41" s="43"/>
      <c r="G41" s="54"/>
      <c r="H41" s="163" t="s">
        <v>96</v>
      </c>
      <c r="I41" s="159"/>
      <c r="J41" s="305"/>
      <c r="K41" s="186">
        <f>K27-K31-K35-K39</f>
        <v>4112003.9177814592</v>
      </c>
      <c r="L41"/>
      <c r="M41"/>
      <c r="N41"/>
      <c r="O41"/>
      <c r="P41"/>
      <c r="Q41"/>
      <c r="R41"/>
      <c r="S41" s="17">
        <f t="shared" si="3"/>
        <v>30</v>
      </c>
      <c r="T41" s="376" t="s">
        <v>295</v>
      </c>
      <c r="V41" s="392">
        <f>V40*0.21</f>
        <v>29969.162817454933</v>
      </c>
      <c r="W41" s="37"/>
      <c r="X41" s="37"/>
      <c r="Y41" s="37"/>
      <c r="Z41" s="37"/>
      <c r="AA41" s="37"/>
      <c r="AQ41"/>
      <c r="AR41" s="152"/>
      <c r="AS41" s="152"/>
      <c r="AT41" s="152"/>
      <c r="AU41" s="152"/>
      <c r="AV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82"/>
      <c r="BW41" s="1"/>
      <c r="BY41" s="126"/>
      <c r="CA41" s="107">
        <f t="shared" ref="CA41" si="55">+CA40+1</f>
        <v>29</v>
      </c>
      <c r="CB41" s="2" t="s">
        <v>15</v>
      </c>
      <c r="CC41" s="495">
        <f>+'[25]Allocated (CBR)'!C37</f>
        <v>12207438.459999993</v>
      </c>
      <c r="CD41" s="43"/>
      <c r="CE41" s="43"/>
      <c r="CF41" s="43">
        <f>N30</f>
        <v>-5160586.2578299958</v>
      </c>
      <c r="CG41" s="43">
        <f>R26</f>
        <v>0</v>
      </c>
      <c r="CH41" s="43"/>
      <c r="CI41" s="43"/>
      <c r="CJ41" s="44"/>
      <c r="CK41" s="17">
        <f t="shared" si="15"/>
        <v>21</v>
      </c>
      <c r="CL41" s="2" t="s">
        <v>15</v>
      </c>
      <c r="CM41" s="52"/>
      <c r="CN41" s="46"/>
      <c r="CO41" s="52"/>
      <c r="CP41" s="44"/>
      <c r="CQ41" s="52"/>
      <c r="CR41" s="52"/>
      <c r="CS41" s="386"/>
      <c r="CT41" s="386"/>
      <c r="CU41" s="386">
        <f t="shared" si="34"/>
        <v>-5160586.2578299958</v>
      </c>
      <c r="CV41" s="44">
        <f t="shared" si="39"/>
        <v>7046852.2021699976</v>
      </c>
      <c r="CW41" s="17">
        <f t="shared" si="17"/>
        <v>21</v>
      </c>
      <c r="CX41" s="2" t="s">
        <v>15</v>
      </c>
      <c r="CY41" s="44">
        <f t="shared" si="40"/>
        <v>12207438.459999993</v>
      </c>
      <c r="CZ41" s="95">
        <f t="shared" si="41"/>
        <v>-5160586.2578299958</v>
      </c>
      <c r="DA41" s="67">
        <f t="shared" si="43"/>
        <v>7046852.2021699976</v>
      </c>
    </row>
    <row r="42" spans="1:118" ht="15" customHeight="1" thickBot="1" x14ac:dyDescent="0.25">
      <c r="A42" s="17">
        <f t="shared" si="0"/>
        <v>31</v>
      </c>
      <c r="B42" s="164" t="s">
        <v>51</v>
      </c>
      <c r="C42" s="163"/>
      <c r="D42" s="304"/>
      <c r="E42" s="305"/>
      <c r="F42" s="306">
        <f>SUM(E40:E41)</f>
        <v>433</v>
      </c>
      <c r="G42" s="54"/>
      <c r="L42"/>
      <c r="M42"/>
      <c r="N42"/>
      <c r="O42"/>
      <c r="P42"/>
      <c r="Q42"/>
      <c r="R42"/>
      <c r="S42" s="17">
        <f t="shared" si="3"/>
        <v>31</v>
      </c>
      <c r="T42" s="376" t="s">
        <v>56</v>
      </c>
      <c r="V42" s="393">
        <f>V40-V41</f>
        <v>112741.13631328286</v>
      </c>
      <c r="W42" s="37"/>
      <c r="X42" s="37"/>
      <c r="Y42" s="37"/>
      <c r="Z42" s="37"/>
      <c r="AA42" s="37"/>
      <c r="AQ42"/>
      <c r="AR42" s="152"/>
      <c r="AS42" s="152"/>
      <c r="AT42" s="152"/>
      <c r="AU42" s="152"/>
      <c r="AV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82"/>
      <c r="BW42" s="1"/>
      <c r="BY42" s="126"/>
      <c r="BZ42" s="16"/>
      <c r="CA42" s="107">
        <f t="shared" ref="CA42" si="56">+CA41+1</f>
        <v>30</v>
      </c>
      <c r="CB42" s="18" t="s">
        <v>16</v>
      </c>
      <c r="CC42" s="330">
        <f>SUM(CC26:CC41)</f>
        <v>849336134.19999993</v>
      </c>
      <c r="CD42" s="42">
        <f t="shared" ref="CD42:CJ42" si="57">SUM(CD26:CD41)</f>
        <v>16268</v>
      </c>
      <c r="CE42" s="42">
        <f t="shared" si="57"/>
        <v>1056676.2722185398</v>
      </c>
      <c r="CF42" s="42">
        <f t="shared" si="57"/>
        <v>206975.50512730144</v>
      </c>
      <c r="CG42" s="42">
        <f t="shared" si="57"/>
        <v>-12902310.123364996</v>
      </c>
      <c r="CH42" s="42">
        <f t="shared" si="57"/>
        <v>-151674016.38694927</v>
      </c>
      <c r="CI42" s="42">
        <f t="shared" si="57"/>
        <v>161380.80420999997</v>
      </c>
      <c r="CJ42" s="42">
        <f t="shared" si="57"/>
        <v>55031</v>
      </c>
      <c r="CK42" s="17">
        <f t="shared" si="15"/>
        <v>22</v>
      </c>
      <c r="CL42" s="18" t="s">
        <v>16</v>
      </c>
      <c r="CM42" s="42">
        <f t="shared" ref="CM42" si="58">SUM(CM26:CM41)</f>
        <v>1493271.006015511</v>
      </c>
      <c r="CN42" s="42">
        <f t="shared" ref="CN42" si="59">SUM(CN26:CN41)</f>
        <v>-24570.23715579708</v>
      </c>
      <c r="CO42" s="42">
        <f t="shared" ref="CO42" si="60">SUM(CO26:CO41)</f>
        <v>-10749.453631944525</v>
      </c>
      <c r="CP42" s="42">
        <f t="shared" ref="CP42" si="61">SUM(CP26:CP41)</f>
        <v>80668.137876548644</v>
      </c>
      <c r="CQ42" s="42">
        <f t="shared" ref="CQ42:CS42" si="62">SUM(CQ26:CQ41)</f>
        <v>102906.41920436764</v>
      </c>
      <c r="CR42" s="42">
        <f t="shared" ref="CR42" si="63">SUM(CR26:CR41)</f>
        <v>-184631.15422121563</v>
      </c>
      <c r="CS42" s="330">
        <f t="shared" si="62"/>
        <v>0</v>
      </c>
      <c r="CT42" s="330">
        <f t="shared" ref="CT42" si="64">SUM(CT26:CT41)</f>
        <v>-672117.92486183951</v>
      </c>
      <c r="CU42" s="330">
        <f t="shared" ref="CU42" si="65">SUM(CU26:CU41)</f>
        <v>-162295218.13553277</v>
      </c>
      <c r="CV42" s="42">
        <f t="shared" ref="CV42" si="66">SUM(CV26:CV41)</f>
        <v>687040916.06446707</v>
      </c>
      <c r="CW42" s="17">
        <f t="shared" si="17"/>
        <v>22</v>
      </c>
      <c r="CX42" s="18" t="s">
        <v>16</v>
      </c>
      <c r="CY42" s="42">
        <f t="shared" ref="CY42" si="67">SUM(CY26:CY41)</f>
        <v>849336134.19999993</v>
      </c>
      <c r="CZ42" s="42">
        <f t="shared" ref="CZ42" si="68">SUM(CZ26:CZ41)</f>
        <v>-162295218.13553277</v>
      </c>
      <c r="DA42" s="42">
        <f t="shared" ref="DA42" si="69">SUM(DA26:DA41)</f>
        <v>687040916.06446707</v>
      </c>
    </row>
    <row r="43" spans="1:118" ht="15" customHeight="1" thickTop="1" x14ac:dyDescent="0.2">
      <c r="A43" s="17">
        <f t="shared" si="0"/>
        <v>32</v>
      </c>
      <c r="B43" s="163"/>
      <c r="C43" s="163"/>
      <c r="D43" s="307"/>
      <c r="E43" s="185"/>
      <c r="F43" s="43"/>
      <c r="G43" s="54"/>
      <c r="H43" s="163" t="s">
        <v>97</v>
      </c>
      <c r="I43" s="144">
        <f>FIT</f>
        <v>0.21</v>
      </c>
      <c r="J43" s="305"/>
      <c r="K43" s="52">
        <f>ROUND(K41*I43,0)</f>
        <v>863521</v>
      </c>
      <c r="L43"/>
      <c r="M43"/>
      <c r="N43"/>
      <c r="O43"/>
      <c r="P43"/>
      <c r="Q43"/>
      <c r="R43"/>
      <c r="U43" s="56"/>
      <c r="V43" s="56"/>
      <c r="W43" s="37"/>
      <c r="X43" s="37"/>
      <c r="Y43" s="37"/>
      <c r="Z43" s="37"/>
      <c r="AA43" s="37"/>
      <c r="AQ43"/>
      <c r="AR43" s="152"/>
      <c r="AS43" s="152"/>
      <c r="AT43" s="152"/>
      <c r="AU43" s="152"/>
      <c r="AV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82"/>
      <c r="BW43" s="1"/>
      <c r="BY43" s="126"/>
      <c r="BZ43" s="71"/>
      <c r="CA43" s="107">
        <f t="shared" ref="CA43" si="70">+CA42+1</f>
        <v>31</v>
      </c>
      <c r="CC43" s="343"/>
      <c r="CD43" s="26"/>
      <c r="CE43" s="26"/>
      <c r="CF43" s="26"/>
      <c r="CG43" s="26"/>
      <c r="CH43" s="26"/>
      <c r="CI43" s="26"/>
      <c r="CJ43" s="26"/>
      <c r="CK43" s="17">
        <f t="shared" si="15"/>
        <v>23</v>
      </c>
      <c r="CM43" s="26"/>
      <c r="CN43" s="26"/>
      <c r="CO43" s="26"/>
      <c r="CP43" s="26"/>
      <c r="CQ43" s="26"/>
      <c r="CR43" s="26"/>
      <c r="CS43" s="343"/>
      <c r="CT43" s="343"/>
      <c r="CU43" s="343"/>
      <c r="CV43" s="26"/>
      <c r="CW43" s="17">
        <f t="shared" si="17"/>
        <v>23</v>
      </c>
      <c r="CY43" s="26"/>
      <c r="CZ43" s="26"/>
      <c r="DA43" s="26"/>
    </row>
    <row r="44" spans="1:118" ht="15" customHeight="1" x14ac:dyDescent="0.2">
      <c r="A44" s="17">
        <f t="shared" si="0"/>
        <v>33</v>
      </c>
      <c r="B44" s="163" t="s">
        <v>143</v>
      </c>
      <c r="C44" s="163"/>
      <c r="D44" s="196">
        <f>+BY14</f>
        <v>3.8345999999999998E-2</v>
      </c>
      <c r="E44" s="308">
        <f>ROUND(F35*D44,0)</f>
        <v>2541</v>
      </c>
      <c r="F44" s="43"/>
      <c r="G44" s="54"/>
      <c r="L44"/>
      <c r="M44"/>
      <c r="N44"/>
      <c r="O44"/>
      <c r="P44"/>
      <c r="Q44"/>
      <c r="R44"/>
      <c r="U44" s="56"/>
      <c r="V44" s="256"/>
      <c r="W44" s="37"/>
      <c r="X44" s="37"/>
      <c r="Y44" s="37"/>
      <c r="Z44" s="37"/>
      <c r="AA44" s="37"/>
      <c r="AQ44"/>
      <c r="AR44" s="152"/>
      <c r="AS44" s="152"/>
      <c r="AT44" s="152"/>
      <c r="AU44" s="152"/>
      <c r="AV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82"/>
      <c r="BW44" s="1"/>
      <c r="BY44" s="126"/>
      <c r="BZ44" s="3"/>
      <c r="CA44" s="107">
        <f t="shared" ref="CA44" si="71">+CA43+1</f>
        <v>32</v>
      </c>
      <c r="CB44" s="18" t="s">
        <v>17</v>
      </c>
      <c r="CC44" s="13">
        <f t="shared" ref="CC44:CJ44" si="72">CC17-CC42</f>
        <v>131577206.98000002</v>
      </c>
      <c r="CD44" s="13">
        <f t="shared" si="72"/>
        <v>50010.028092253473</v>
      </c>
      <c r="CE44" s="496">
        <f t="shared" si="72"/>
        <v>3248482.9177814596</v>
      </c>
      <c r="CF44" s="496">
        <f t="shared" si="72"/>
        <v>-206975.50512730144</v>
      </c>
      <c r="CG44" s="13">
        <f t="shared" si="72"/>
        <v>12902310.123364996</v>
      </c>
      <c r="CH44" s="13">
        <f t="shared" si="72"/>
        <v>112741.13631331921</v>
      </c>
      <c r="CI44" s="13">
        <f t="shared" si="72"/>
        <v>-161380.80420999997</v>
      </c>
      <c r="CJ44" s="13">
        <f t="shared" si="72"/>
        <v>-55031</v>
      </c>
      <c r="CK44" s="17">
        <f t="shared" si="15"/>
        <v>24</v>
      </c>
      <c r="CL44" s="18" t="s">
        <v>17</v>
      </c>
      <c r="CM44" s="13">
        <f t="shared" ref="CM44:CV44" si="73">CM17-CM42</f>
        <v>-1493271.006015511</v>
      </c>
      <c r="CN44" s="13">
        <f t="shared" si="73"/>
        <v>24570.23715579708</v>
      </c>
      <c r="CO44" s="13">
        <f t="shared" si="73"/>
        <v>10749.453631944525</v>
      </c>
      <c r="CP44" s="13">
        <f t="shared" si="73"/>
        <v>-80668.137876548644</v>
      </c>
      <c r="CQ44" s="13">
        <f t="shared" si="73"/>
        <v>-102906.41920436764</v>
      </c>
      <c r="CR44" s="13">
        <f t="shared" si="73"/>
        <v>184631.15422121563</v>
      </c>
      <c r="CS44" s="13">
        <f t="shared" si="73"/>
        <v>0</v>
      </c>
      <c r="CT44" s="13">
        <f t="shared" si="73"/>
        <v>672117.92486183951</v>
      </c>
      <c r="CU44" s="13">
        <f t="shared" si="73"/>
        <v>15105380.102989078</v>
      </c>
      <c r="CV44" s="13">
        <f t="shared" si="73"/>
        <v>146682587.08298922</v>
      </c>
      <c r="CW44" s="17">
        <f t="shared" si="17"/>
        <v>24</v>
      </c>
      <c r="CX44" s="2" t="str">
        <f>CB44</f>
        <v>NET OPERATING INCOME</v>
      </c>
      <c r="CY44" s="13">
        <f>CY17-CY42</f>
        <v>131577206.98000002</v>
      </c>
      <c r="CZ44" s="13">
        <f>CZ17-CZ42</f>
        <v>15105380.102989078</v>
      </c>
      <c r="DA44" s="13">
        <f>DA17-DA42</f>
        <v>146682587.0829891</v>
      </c>
    </row>
    <row r="45" spans="1:118" ht="15" customHeight="1" thickBot="1" x14ac:dyDescent="0.25">
      <c r="A45" s="17">
        <f t="shared" si="0"/>
        <v>34</v>
      </c>
      <c r="B45" s="164" t="s">
        <v>144</v>
      </c>
      <c r="C45" s="163"/>
      <c r="D45" s="159"/>
      <c r="E45" s="185"/>
      <c r="F45" s="309">
        <f>SUM(E44:E44)</f>
        <v>2541</v>
      </c>
      <c r="G45" s="54"/>
      <c r="H45" s="163" t="s">
        <v>56</v>
      </c>
      <c r="I45" s="159"/>
      <c r="J45" s="305"/>
      <c r="K45" s="368">
        <f>K41-K43</f>
        <v>3248482.9177814592</v>
      </c>
      <c r="N45"/>
      <c r="O45"/>
      <c r="P45"/>
      <c r="Q45"/>
      <c r="R45"/>
      <c r="T45" s="56"/>
      <c r="U45" s="56"/>
      <c r="V45" s="256"/>
      <c r="W45" s="37"/>
      <c r="X45" s="37"/>
      <c r="Y45" s="37"/>
      <c r="Z45" s="37"/>
      <c r="AA45" s="37"/>
      <c r="AQ45"/>
      <c r="AR45" s="152"/>
      <c r="AS45" s="152"/>
      <c r="AT45" s="152"/>
      <c r="AU45" s="152"/>
      <c r="AV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82"/>
      <c r="BW45" s="1"/>
      <c r="BY45" s="126"/>
      <c r="BZ45" s="51"/>
      <c r="CA45" s="107">
        <f t="shared" ref="CA45" si="74">+CA44+1</f>
        <v>33</v>
      </c>
      <c r="CC45" s="493"/>
      <c r="CD45"/>
      <c r="CE45"/>
      <c r="CF45"/>
      <c r="CG45"/>
      <c r="CH45"/>
      <c r="CI45"/>
      <c r="CJ45"/>
      <c r="CK45" s="17">
        <f t="shared" si="15"/>
        <v>25</v>
      </c>
      <c r="CL45"/>
      <c r="CM45"/>
      <c r="CN45"/>
      <c r="CO45"/>
      <c r="CP45"/>
      <c r="CQ45"/>
      <c r="CR45"/>
      <c r="CS45"/>
      <c r="CT45"/>
      <c r="CU45"/>
      <c r="CV45"/>
      <c r="CW45" s="17">
        <f t="shared" si="17"/>
        <v>25</v>
      </c>
      <c r="CX45" s="18"/>
      <c r="CY45"/>
      <c r="CZ45"/>
      <c r="DA45"/>
      <c r="DB45"/>
    </row>
    <row r="46" spans="1:118" ht="15" customHeight="1" thickTop="1" x14ac:dyDescent="0.2">
      <c r="A46" s="17">
        <f t="shared" si="0"/>
        <v>35</v>
      </c>
      <c r="B46" s="163"/>
      <c r="C46" s="163"/>
      <c r="D46" s="159"/>
      <c r="E46" s="159"/>
      <c r="F46" s="43"/>
      <c r="G46" s="54"/>
      <c r="N46"/>
      <c r="O46"/>
      <c r="P46"/>
      <c r="Q46"/>
      <c r="R46"/>
      <c r="S46" s="37"/>
      <c r="T46" s="37"/>
      <c r="U46" s="37"/>
      <c r="V46" s="256"/>
      <c r="W46" s="56"/>
      <c r="X46" s="56"/>
      <c r="Y46" s="56"/>
      <c r="Z46" s="56"/>
      <c r="AA46" s="56"/>
      <c r="AQ46"/>
      <c r="AR46" s="152"/>
      <c r="AS46" s="152"/>
      <c r="AT46" s="152"/>
      <c r="AU46" s="152"/>
      <c r="AV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82"/>
      <c r="BW46" s="1"/>
      <c r="BY46" s="126"/>
      <c r="BZ46" s="51"/>
      <c r="CA46" s="107">
        <f t="shared" ref="CA46" si="75">+CA45+1</f>
        <v>34</v>
      </c>
      <c r="CB46" s="18" t="s">
        <v>18</v>
      </c>
      <c r="CC46" s="13">
        <f>CC57</f>
        <v>2375130073.1310239</v>
      </c>
      <c r="CD46" s="13">
        <f t="shared" ref="CD46:CJ46" si="76">CD57</f>
        <v>0</v>
      </c>
      <c r="CE46" s="13">
        <f t="shared" si="76"/>
        <v>0</v>
      </c>
      <c r="CF46" s="13">
        <f t="shared" si="76"/>
        <v>0</v>
      </c>
      <c r="CG46" s="13">
        <f t="shared" si="76"/>
        <v>0</v>
      </c>
      <c r="CH46" s="13">
        <f t="shared" si="76"/>
        <v>0</v>
      </c>
      <c r="CI46" s="13">
        <f t="shared" si="76"/>
        <v>0</v>
      </c>
      <c r="CJ46" s="13">
        <f t="shared" si="76"/>
        <v>0</v>
      </c>
      <c r="CK46" s="17">
        <f t="shared" si="15"/>
        <v>26</v>
      </c>
      <c r="CL46" s="18" t="s">
        <v>18</v>
      </c>
      <c r="CM46" s="13">
        <f t="shared" ref="CM46:CU46" si="77">CM57</f>
        <v>0</v>
      </c>
      <c r="CN46" s="13">
        <f t="shared" si="77"/>
        <v>0</v>
      </c>
      <c r="CO46" s="13">
        <f t="shared" si="77"/>
        <v>0</v>
      </c>
      <c r="CP46" s="13">
        <f t="shared" si="77"/>
        <v>0</v>
      </c>
      <c r="CQ46" s="13">
        <f t="shared" si="77"/>
        <v>0</v>
      </c>
      <c r="CR46" s="13">
        <f t="shared" si="77"/>
        <v>0</v>
      </c>
      <c r="CS46" s="13">
        <f t="shared" ref="CS46:CT46" si="78">CS57</f>
        <v>-49838932.762653604</v>
      </c>
      <c r="CT46" s="13">
        <f t="shared" si="78"/>
        <v>-24183574.225156937</v>
      </c>
      <c r="CU46" s="13">
        <f t="shared" si="77"/>
        <v>-74022506.987810537</v>
      </c>
      <c r="CV46" s="26">
        <f>CC46+CU46</f>
        <v>2301107566.1432133</v>
      </c>
      <c r="CW46" s="17">
        <f t="shared" si="17"/>
        <v>26</v>
      </c>
      <c r="CX46" s="18" t="s">
        <v>18</v>
      </c>
      <c r="CY46" s="26">
        <f>CC46</f>
        <v>2375130073.1310239</v>
      </c>
      <c r="CZ46" s="99">
        <f>CU46</f>
        <v>-74022506.987810537</v>
      </c>
      <c r="DA46" s="26">
        <f>+CY46+CZ46</f>
        <v>2301107566.1432133</v>
      </c>
    </row>
    <row r="47" spans="1:118" ht="15" customHeight="1" x14ac:dyDescent="0.2">
      <c r="A47" s="17">
        <f t="shared" si="0"/>
        <v>36</v>
      </c>
      <c r="B47" s="163" t="s">
        <v>96</v>
      </c>
      <c r="C47" s="163"/>
      <c r="D47" s="159"/>
      <c r="E47" s="305"/>
      <c r="F47" s="186">
        <f>F35-F39-F42-F45</f>
        <v>63304.028092253473</v>
      </c>
      <c r="G47" s="54"/>
      <c r="H47" s="193"/>
      <c r="I47" s="193"/>
      <c r="J47" s="193"/>
      <c r="K47" s="193"/>
      <c r="N47"/>
      <c r="O47"/>
      <c r="P47"/>
      <c r="Q47"/>
      <c r="R47"/>
      <c r="S47" s="37"/>
      <c r="T47" s="37"/>
      <c r="U47" s="37"/>
      <c r="V47" s="256"/>
      <c r="W47" s="56"/>
      <c r="X47" s="56"/>
      <c r="Y47" s="56"/>
      <c r="Z47" s="56"/>
      <c r="AA47" s="56"/>
      <c r="AQ47"/>
      <c r="BU47" s="82"/>
      <c r="BW47" s="1"/>
      <c r="BY47" s="126"/>
      <c r="BZ47" s="51"/>
      <c r="CA47" s="107">
        <f t="shared" ref="CA47" si="79">+CA46+1</f>
        <v>35</v>
      </c>
      <c r="CC47" s="493"/>
      <c r="CD47"/>
      <c r="CE47"/>
      <c r="CF47"/>
      <c r="CG47"/>
      <c r="CH47"/>
      <c r="CI47"/>
      <c r="CJ47"/>
      <c r="CK47" s="17">
        <f t="shared" si="15"/>
        <v>27</v>
      </c>
      <c r="CL47"/>
      <c r="CM47"/>
      <c r="CN47"/>
      <c r="CO47"/>
      <c r="CP47"/>
      <c r="CQ47"/>
      <c r="CR47"/>
      <c r="CS47"/>
      <c r="CT47"/>
      <c r="CU47"/>
      <c r="CV47"/>
      <c r="CW47" s="17">
        <f t="shared" si="17"/>
        <v>27</v>
      </c>
      <c r="CY47"/>
      <c r="CZ47"/>
      <c r="DA47"/>
      <c r="DB47"/>
    </row>
    <row r="48" spans="1:118" ht="15" customHeight="1" x14ac:dyDescent="0.2">
      <c r="A48" s="17">
        <f t="shared" si="0"/>
        <v>37</v>
      </c>
      <c r="B48" s="163"/>
      <c r="C48" s="163"/>
      <c r="D48" s="159"/>
      <c r="E48" s="305"/>
      <c r="F48" s="305"/>
      <c r="G48" s="54"/>
      <c r="H48" s="193"/>
      <c r="I48" s="193"/>
      <c r="J48" s="193"/>
      <c r="K48" s="193"/>
      <c r="N48"/>
      <c r="O48"/>
      <c r="P48"/>
      <c r="Q48"/>
      <c r="R48"/>
      <c r="S48" s="37"/>
      <c r="T48" s="37"/>
      <c r="U48" s="37"/>
      <c r="V48" s="37"/>
      <c r="W48" s="56"/>
      <c r="X48" s="56"/>
      <c r="Y48" s="56"/>
      <c r="Z48" s="56"/>
      <c r="AA48" s="56"/>
      <c r="AN48" s="17"/>
      <c r="AO48" s="81"/>
      <c r="AP48" s="1"/>
      <c r="AQ48"/>
      <c r="BB48" s="37"/>
      <c r="BC48" s="37"/>
      <c r="BD48" s="37"/>
      <c r="BU48" s="82"/>
      <c r="BW48" s="1"/>
      <c r="BY48" s="126"/>
      <c r="BZ48" s="72"/>
      <c r="CA48" s="107">
        <f t="shared" ref="CA48" si="80">+CA47+1</f>
        <v>36</v>
      </c>
      <c r="CB48" s="18" t="s">
        <v>19</v>
      </c>
      <c r="CC48" s="299">
        <f>CC44/CC46</f>
        <v>5.539789524307942E-2</v>
      </c>
      <c r="CH48" s="48"/>
      <c r="CI48" s="48"/>
      <c r="CJ48" s="1"/>
      <c r="CK48" s="17">
        <f t="shared" si="15"/>
        <v>28</v>
      </c>
      <c r="CL48" s="18" t="s">
        <v>19</v>
      </c>
      <c r="CM48" s="1"/>
      <c r="CO48" s="1"/>
      <c r="CP48" s="1"/>
      <c r="CQ48" s="1"/>
      <c r="CR48" s="1"/>
      <c r="CS48" s="120"/>
      <c r="CT48" s="120"/>
      <c r="CU48" s="120"/>
      <c r="CV48" s="51">
        <f>CV44/CV46</f>
        <v>6.3744341742718938E-2</v>
      </c>
      <c r="CW48" s="17">
        <f t="shared" si="17"/>
        <v>28</v>
      </c>
      <c r="CX48" s="18" t="s">
        <v>19</v>
      </c>
      <c r="CY48" s="51">
        <f>CC48</f>
        <v>5.539789524307942E-2</v>
      </c>
      <c r="DA48" s="51">
        <f>DA44/DA46</f>
        <v>6.3744341742718882E-2</v>
      </c>
    </row>
    <row r="49" spans="1:106" ht="15" customHeight="1" x14ac:dyDescent="0.2">
      <c r="A49" s="17">
        <f t="shared" si="0"/>
        <v>38</v>
      </c>
      <c r="B49" s="163" t="s">
        <v>97</v>
      </c>
      <c r="C49" s="163"/>
      <c r="D49" s="132">
        <f>FIT</f>
        <v>0.21</v>
      </c>
      <c r="E49" s="305"/>
      <c r="F49" s="52">
        <f>ROUND(F47*D49,0)</f>
        <v>13294</v>
      </c>
      <c r="G49" s="54"/>
      <c r="N49"/>
      <c r="O49"/>
      <c r="P49"/>
      <c r="Q49"/>
      <c r="R49"/>
      <c r="S49" s="37"/>
      <c r="T49" s="37"/>
      <c r="U49" s="37"/>
      <c r="V49" s="37"/>
      <c r="W49" s="56"/>
      <c r="X49" s="56"/>
      <c r="Y49" s="56"/>
      <c r="Z49" s="56"/>
      <c r="AA49" s="56"/>
      <c r="AQ49"/>
      <c r="BB49" s="37"/>
      <c r="BC49" s="37"/>
      <c r="BD49" s="37"/>
      <c r="BU49" s="82"/>
      <c r="BW49" s="1"/>
      <c r="BY49" s="126"/>
      <c r="CA49" s="107">
        <f t="shared" ref="CA49" si="81">+CA48+1</f>
        <v>37</v>
      </c>
      <c r="CK49" s="17">
        <f t="shared" si="15"/>
        <v>29</v>
      </c>
      <c r="CW49" s="17">
        <f t="shared" si="17"/>
        <v>29</v>
      </c>
      <c r="CY49" s="69"/>
      <c r="DA49" s="69"/>
    </row>
    <row r="50" spans="1:106" ht="15" customHeight="1" thickBot="1" x14ac:dyDescent="0.25">
      <c r="A50" s="17">
        <f t="shared" si="0"/>
        <v>39</v>
      </c>
      <c r="B50" s="163" t="s">
        <v>56</v>
      </c>
      <c r="C50" s="163"/>
      <c r="D50" s="159"/>
      <c r="E50" s="305"/>
      <c r="F50" s="353">
        <f>ROUND(-F49+F47,0)</f>
        <v>50010</v>
      </c>
      <c r="G50" s="54"/>
      <c r="H50" s="193"/>
      <c r="I50" s="193"/>
      <c r="J50" s="193"/>
      <c r="K50" s="193"/>
      <c r="O50" s="17"/>
      <c r="P50"/>
      <c r="Q50"/>
      <c r="R50"/>
      <c r="S50" s="37"/>
      <c r="T50" s="37"/>
      <c r="U50" s="37"/>
      <c r="V50" s="37"/>
      <c r="W50" s="56"/>
      <c r="X50" s="56"/>
      <c r="Y50" s="56"/>
      <c r="Z50" s="56"/>
      <c r="AA50" s="56"/>
      <c r="AN50" s="17"/>
      <c r="AQ50"/>
      <c r="BB50" s="37"/>
      <c r="BC50" s="37"/>
      <c r="BD50" s="37"/>
      <c r="BU50" s="82"/>
      <c r="BW50" s="1"/>
      <c r="BY50" s="126"/>
      <c r="CA50" s="107">
        <f t="shared" ref="CA50" si="82">+CA49+1</f>
        <v>38</v>
      </c>
      <c r="CB50" s="2" t="s">
        <v>69</v>
      </c>
      <c r="CC50" s="16"/>
      <c r="CJ50" s="1"/>
      <c r="CK50" s="17">
        <f t="shared" si="15"/>
        <v>30</v>
      </c>
      <c r="CL50" s="2" t="s">
        <v>69</v>
      </c>
      <c r="CM50" s="1"/>
      <c r="CO50" s="1"/>
      <c r="CP50" s="1"/>
      <c r="CQ50" s="1"/>
      <c r="CR50" s="1"/>
      <c r="CS50" s="120"/>
      <c r="CT50" s="120"/>
      <c r="CU50" s="120"/>
      <c r="CV50" s="23"/>
      <c r="CW50" s="17">
        <f t="shared" si="17"/>
        <v>30</v>
      </c>
      <c r="CX50" s="2" t="s">
        <v>69</v>
      </c>
    </row>
    <row r="51" spans="1:106" ht="15" customHeight="1" thickTop="1" x14ac:dyDescent="0.2">
      <c r="A51" s="17"/>
      <c r="F51" s="52"/>
      <c r="G51" s="54"/>
      <c r="H51" s="193"/>
      <c r="I51" s="193"/>
      <c r="J51" s="193"/>
      <c r="K51" s="193"/>
      <c r="O51" s="1"/>
      <c r="P51"/>
      <c r="Q51"/>
      <c r="R51"/>
      <c r="S51" s="37"/>
      <c r="T51" s="37"/>
      <c r="U51" s="37"/>
      <c r="V51" s="37"/>
      <c r="W51" s="56"/>
      <c r="X51" s="56"/>
      <c r="Y51" s="56"/>
      <c r="Z51" s="56"/>
      <c r="AA51" s="56"/>
      <c r="AJ51" s="153"/>
      <c r="AN51" s="17"/>
      <c r="AQ51"/>
      <c r="BU51" s="82"/>
      <c r="BW51" s="1"/>
      <c r="BY51" s="126"/>
      <c r="BZ51" s="47"/>
      <c r="CA51" s="107">
        <f t="shared" ref="CA51" si="83">+CA50+1</f>
        <v>39</v>
      </c>
      <c r="CB51" s="100" t="s">
        <v>70</v>
      </c>
      <c r="CC51" s="13">
        <f>'[27]GRB AMA'!$C$19</f>
        <v>4727170999.589098</v>
      </c>
      <c r="CD51" s="5"/>
      <c r="CE51" s="5">
        <v>0</v>
      </c>
      <c r="CF51" s="5">
        <v>0</v>
      </c>
      <c r="CG51" s="5">
        <v>0</v>
      </c>
      <c r="CH51" s="5"/>
      <c r="CI51" s="5"/>
      <c r="CJ51" s="5">
        <v>0</v>
      </c>
      <c r="CK51" s="17">
        <f t="shared" si="15"/>
        <v>31</v>
      </c>
      <c r="CL51" s="100" t="s">
        <v>70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/>
      <c r="CS51" s="5">
        <f>BO14</f>
        <v>-63016559.436197914</v>
      </c>
      <c r="CT51" s="5">
        <f>BT20</f>
        <v>-34130739.618749999</v>
      </c>
      <c r="CU51" s="5">
        <f t="shared" ref="CU51:CU57" si="84">SUM(CD51:CT51)-CK51</f>
        <v>-97147299.054947913</v>
      </c>
      <c r="CV51" s="5">
        <f>+CU51+CC51</f>
        <v>4630023700.5341501</v>
      </c>
      <c r="CW51" s="17">
        <f t="shared" si="17"/>
        <v>31</v>
      </c>
      <c r="CX51" s="100" t="s">
        <v>70</v>
      </c>
      <c r="CY51" s="13">
        <f>+CC51</f>
        <v>4727170999.589098</v>
      </c>
      <c r="CZ51" s="6">
        <f>+CU51</f>
        <v>-97147299.054947913</v>
      </c>
      <c r="DA51" s="5">
        <f>+CZ51+CY51</f>
        <v>4630023700.5341501</v>
      </c>
    </row>
    <row r="52" spans="1:106" ht="15" customHeight="1" x14ac:dyDescent="0.2">
      <c r="A52" s="17"/>
      <c r="B52" s="164"/>
      <c r="G52" s="54"/>
      <c r="O52" s="1"/>
      <c r="P52"/>
      <c r="Q52"/>
      <c r="R52"/>
      <c r="T52" s="56"/>
      <c r="U52" s="56"/>
      <c r="V52" s="56"/>
      <c r="W52" s="56"/>
      <c r="X52" s="56"/>
      <c r="Y52" s="56"/>
      <c r="Z52" s="56"/>
      <c r="AA52" s="56"/>
      <c r="AN52" s="17"/>
      <c r="AQ52"/>
      <c r="BU52" s="82"/>
      <c r="BW52" s="1"/>
      <c r="BY52" s="126"/>
      <c r="BZ52" s="15"/>
      <c r="CA52" s="107">
        <f t="shared" ref="CA52" si="85">+CA51+1</f>
        <v>40</v>
      </c>
      <c r="CB52" s="9" t="s">
        <v>71</v>
      </c>
      <c r="CC52" s="480">
        <f>'[27]GRB AMA'!$C$21+'[27]GRB AMA'!$C$22</f>
        <v>-1811144840.5536251</v>
      </c>
      <c r="CD52" s="7"/>
      <c r="CE52" s="7"/>
      <c r="CF52" s="7"/>
      <c r="CG52" s="7"/>
      <c r="CH52" s="7"/>
      <c r="CI52" s="7"/>
      <c r="CJ52" s="7"/>
      <c r="CK52" s="17">
        <f t="shared" si="15"/>
        <v>32</v>
      </c>
      <c r="CL52" s="9" t="s">
        <v>71</v>
      </c>
      <c r="CM52" s="7"/>
      <c r="CN52" s="7"/>
      <c r="CO52" s="7"/>
      <c r="CP52" s="7"/>
      <c r="CQ52" s="7"/>
      <c r="CR52" s="139"/>
      <c r="CS52" s="139">
        <f>BO15</f>
        <v>9824683.04666931</v>
      </c>
      <c r="CT52" s="139">
        <f>BT21</f>
        <v>2736033.3935930612</v>
      </c>
      <c r="CU52" s="139">
        <f t="shared" si="84"/>
        <v>12560716.440262372</v>
      </c>
      <c r="CV52" s="7">
        <f>+CU52+CC52</f>
        <v>-1798584124.1133628</v>
      </c>
      <c r="CW52" s="17">
        <f t="shared" si="17"/>
        <v>32</v>
      </c>
      <c r="CX52" s="9" t="s">
        <v>71</v>
      </c>
      <c r="CY52" s="46">
        <f>+CC52</f>
        <v>-1811144840.5536251</v>
      </c>
      <c r="CZ52" s="7">
        <f>+CU52</f>
        <v>12560716.440262372</v>
      </c>
      <c r="DA52" s="7">
        <f>+CZ52+CY52</f>
        <v>-1798584124.1133628</v>
      </c>
    </row>
    <row r="53" spans="1:106" ht="15" customHeight="1" x14ac:dyDescent="0.2">
      <c r="A53" s="17"/>
      <c r="B53" s="164"/>
      <c r="G53" s="168"/>
      <c r="P53"/>
      <c r="Q53"/>
      <c r="R53"/>
      <c r="T53" s="56"/>
      <c r="U53" s="56"/>
      <c r="V53" s="56"/>
      <c r="W53" s="56"/>
      <c r="X53" s="56"/>
      <c r="Y53" s="56"/>
      <c r="Z53" s="56"/>
      <c r="AA53" s="56"/>
      <c r="AQ53"/>
      <c r="BU53" s="82"/>
      <c r="BW53" s="1"/>
      <c r="BY53" s="126"/>
      <c r="BZ53" s="15"/>
      <c r="CA53" s="107">
        <f t="shared" ref="CA53" si="86">+CA52+1</f>
        <v>41</v>
      </c>
      <c r="CB53" s="9" t="s">
        <v>72</v>
      </c>
      <c r="CC53" s="480">
        <f>'[27]GRB AMA'!$C$25+'[27]GRB AMA'!$C$26+'[27]GRB AMA'!$C$24</f>
        <v>-605142323.66404688</v>
      </c>
      <c r="CD53" s="8"/>
      <c r="CE53" s="8"/>
      <c r="CF53" s="8"/>
      <c r="CG53" s="8"/>
      <c r="CH53" s="8"/>
      <c r="CI53" s="8"/>
      <c r="CJ53" s="8"/>
      <c r="CK53" s="17">
        <f t="shared" si="15"/>
        <v>33</v>
      </c>
      <c r="CL53" s="9" t="s">
        <v>72</v>
      </c>
      <c r="CM53" s="8"/>
      <c r="CN53" s="8"/>
      <c r="CO53" s="8"/>
      <c r="CP53" s="8"/>
      <c r="CQ53" s="8"/>
      <c r="CR53" s="8"/>
      <c r="CS53" s="8">
        <f>BO16</f>
        <v>3352943.6268749987</v>
      </c>
      <c r="CT53" s="8">
        <f>BT22</f>
        <v>7211132.0000000009</v>
      </c>
      <c r="CU53" s="8">
        <f t="shared" si="84"/>
        <v>10564075.626875</v>
      </c>
      <c r="CV53" s="7">
        <f>+CU53+CC53</f>
        <v>-594578248.03717184</v>
      </c>
      <c r="CW53" s="17">
        <f t="shared" si="17"/>
        <v>33</v>
      </c>
      <c r="CX53" s="9" t="s">
        <v>72</v>
      </c>
      <c r="CY53" s="141">
        <f>+CC53</f>
        <v>-605142323.66404688</v>
      </c>
      <c r="CZ53" s="8">
        <f>+CU53</f>
        <v>10564075.626875</v>
      </c>
      <c r="DA53" s="8">
        <f>+CZ53+CY53</f>
        <v>-594578248.03717184</v>
      </c>
    </row>
    <row r="54" spans="1:106" ht="15" customHeight="1" x14ac:dyDescent="0.2">
      <c r="A54" s="17"/>
      <c r="B54" s="164"/>
      <c r="G54" s="168"/>
      <c r="H54" s="193"/>
      <c r="I54" s="193"/>
      <c r="J54" s="193"/>
      <c r="K54" s="193"/>
      <c r="L54" s="1"/>
      <c r="P54"/>
      <c r="Q54"/>
      <c r="R54"/>
      <c r="T54" s="56"/>
      <c r="U54" s="56"/>
      <c r="V54" s="56"/>
      <c r="W54" s="56"/>
      <c r="X54" s="56"/>
      <c r="Y54" s="56"/>
      <c r="Z54" s="56"/>
      <c r="AA54" s="56"/>
      <c r="AN54" s="17"/>
      <c r="AQ54"/>
      <c r="BU54" s="17"/>
      <c r="BW54" s="72"/>
      <c r="BX54" s="51"/>
      <c r="BY54" s="72"/>
      <c r="BZ54" s="15"/>
      <c r="CA54" s="107">
        <f t="shared" ref="CA54" si="87">+CA53+1</f>
        <v>42</v>
      </c>
      <c r="CB54" s="9" t="s">
        <v>77</v>
      </c>
      <c r="CC54" s="480">
        <f>'[27]GRB AMA'!$C$23+'[27]GRB AMA'!$C$28+'[27]GRB AMA'!$C$27</f>
        <v>-4903506.7850156222</v>
      </c>
      <c r="CD54" s="10"/>
      <c r="CE54" s="10"/>
      <c r="CF54" s="10"/>
      <c r="CG54" s="10"/>
      <c r="CH54" s="10"/>
      <c r="CI54" s="10"/>
      <c r="CJ54" s="10"/>
      <c r="CK54" s="17">
        <f t="shared" si="15"/>
        <v>34</v>
      </c>
      <c r="CL54" s="9" t="s">
        <v>77</v>
      </c>
      <c r="CM54" s="10"/>
      <c r="CN54" s="10"/>
      <c r="CO54" s="10"/>
      <c r="CP54" s="10"/>
      <c r="CQ54" s="10"/>
      <c r="CR54" s="140"/>
      <c r="CS54" s="140"/>
      <c r="CT54" s="140"/>
      <c r="CU54" s="140">
        <f t="shared" si="84"/>
        <v>0</v>
      </c>
      <c r="CV54" s="10">
        <f>+CU54+CC54</f>
        <v>-4903506.7850156222</v>
      </c>
      <c r="CW54" s="17">
        <f t="shared" si="17"/>
        <v>34</v>
      </c>
      <c r="CX54" s="9" t="s">
        <v>77</v>
      </c>
      <c r="CY54" s="49">
        <f>+CC54</f>
        <v>-4903506.7850156222</v>
      </c>
      <c r="CZ54" s="10">
        <f>+CU54</f>
        <v>0</v>
      </c>
      <c r="DA54" s="10">
        <f>+CZ54+CY54</f>
        <v>-4903506.7850156222</v>
      </c>
    </row>
    <row r="55" spans="1:106" ht="15" customHeight="1" x14ac:dyDescent="0.2">
      <c r="A55" s="17"/>
      <c r="B55" s="164"/>
      <c r="G55" s="269"/>
      <c r="L55" s="1"/>
      <c r="P55"/>
      <c r="Q55"/>
      <c r="R55"/>
      <c r="T55" s="56"/>
      <c r="U55" s="56"/>
      <c r="V55" s="56"/>
      <c r="W55" s="56"/>
      <c r="X55" s="56"/>
      <c r="Y55" s="56"/>
      <c r="Z55" s="56"/>
      <c r="AA55" s="56"/>
      <c r="AN55" s="17"/>
      <c r="AO55" s="1"/>
      <c r="AP55" s="1"/>
      <c r="AQ55"/>
      <c r="BU55" s="17"/>
      <c r="BZ55" s="15"/>
      <c r="CA55" s="107">
        <f t="shared" ref="CA55" si="88">+CA54+1</f>
        <v>43</v>
      </c>
      <c r="CB55" s="9" t="s">
        <v>75</v>
      </c>
      <c r="CC55" s="415">
        <f>SUM(CC51:CC54)</f>
        <v>2305980328.5864105</v>
      </c>
      <c r="CD55" s="6"/>
      <c r="CE55" s="6">
        <f>SUM(CE51:CE54)</f>
        <v>0</v>
      </c>
      <c r="CF55" s="6">
        <f>SUM(CF51:CF54)</f>
        <v>0</v>
      </c>
      <c r="CG55" s="6">
        <f>SUM(CG51:CG54)</f>
        <v>0</v>
      </c>
      <c r="CH55" s="6">
        <f>SUM(CH51:CH54)</f>
        <v>0</v>
      </c>
      <c r="CI55" s="6"/>
      <c r="CJ55" s="6">
        <f>SUM(CJ51:CJ54)</f>
        <v>0</v>
      </c>
      <c r="CK55" s="17">
        <f t="shared" si="15"/>
        <v>35</v>
      </c>
      <c r="CL55" s="9" t="s">
        <v>75</v>
      </c>
      <c r="CM55" s="6">
        <f>SUM(CM51:CM54)</f>
        <v>0</v>
      </c>
      <c r="CN55" s="6">
        <f>SUM(CN51:CN54)</f>
        <v>0</v>
      </c>
      <c r="CO55" s="6">
        <f>SUM(CO51:CO54)</f>
        <v>0</v>
      </c>
      <c r="CP55" s="6">
        <f>SUM(CP51:CP54)</f>
        <v>0</v>
      </c>
      <c r="CQ55" s="6">
        <f>SUM(CQ51:CQ54)</f>
        <v>0</v>
      </c>
      <c r="CR55" s="6">
        <f t="shared" ref="CR55:CT55" si="89">SUM(CR51:CR54)</f>
        <v>0</v>
      </c>
      <c r="CS55" s="6">
        <f t="shared" si="89"/>
        <v>-49838932.762653604</v>
      </c>
      <c r="CT55" s="6">
        <f t="shared" si="89"/>
        <v>-24183574.225156937</v>
      </c>
      <c r="CU55" s="6">
        <f t="shared" si="84"/>
        <v>-74022506.987810537</v>
      </c>
      <c r="CV55" s="6">
        <f>SUM(CV51:CV54)</f>
        <v>2231957821.5985999</v>
      </c>
      <c r="CW55" s="17">
        <f t="shared" si="17"/>
        <v>35</v>
      </c>
      <c r="CX55" s="9" t="s">
        <v>75</v>
      </c>
      <c r="CY55" s="6">
        <f>SUM(CY51:CY54)</f>
        <v>2305980328.5864105</v>
      </c>
      <c r="CZ55" s="6">
        <f>SUM(CZ51:CZ54)</f>
        <v>-74022506.987810537</v>
      </c>
      <c r="DA55" s="6">
        <f>SUM(DA51:DA54)</f>
        <v>2231957821.5985999</v>
      </c>
    </row>
    <row r="56" spans="1:106" ht="15" customHeight="1" x14ac:dyDescent="0.2">
      <c r="G56" s="269"/>
      <c r="H56" s="193"/>
      <c r="I56" s="193"/>
      <c r="J56" s="193"/>
      <c r="K56" s="193"/>
      <c r="L56" s="1"/>
      <c r="P56"/>
      <c r="Q56"/>
      <c r="R56"/>
      <c r="T56" s="56"/>
      <c r="U56" s="56"/>
      <c r="V56" s="56"/>
      <c r="W56" s="56"/>
      <c r="X56" s="56"/>
      <c r="Y56" s="56"/>
      <c r="Z56" s="56"/>
      <c r="AA56" s="56"/>
      <c r="AN56" s="17"/>
      <c r="AO56" s="1"/>
      <c r="AP56" s="101"/>
      <c r="AQ56"/>
      <c r="BU56" s="37"/>
      <c r="BV56" s="37"/>
      <c r="BW56" s="37"/>
      <c r="BX56" s="37"/>
      <c r="BY56" s="37"/>
      <c r="BZ56" s="15"/>
      <c r="CA56" s="107">
        <f t="shared" ref="CA56" si="90">+CA55+1</f>
        <v>44</v>
      </c>
      <c r="CB56" s="9" t="s">
        <v>73</v>
      </c>
      <c r="CC56" s="480">
        <f>'[27]GRB AMA'!$C$32</f>
        <v>69149744.544613451</v>
      </c>
      <c r="CD56" s="10"/>
      <c r="CE56" s="10"/>
      <c r="CF56" s="10"/>
      <c r="CG56" s="10"/>
      <c r="CH56" s="10"/>
      <c r="CI56" s="10"/>
      <c r="CJ56" s="10"/>
      <c r="CK56" s="17">
        <f t="shared" si="15"/>
        <v>36</v>
      </c>
      <c r="CL56" s="9" t="s">
        <v>73</v>
      </c>
      <c r="CM56" s="10"/>
      <c r="CN56" s="10"/>
      <c r="CO56" s="10"/>
      <c r="CP56" s="10"/>
      <c r="CQ56" s="10"/>
      <c r="CR56" s="140"/>
      <c r="CS56" s="140"/>
      <c r="CT56" s="140"/>
      <c r="CU56" s="140">
        <f t="shared" si="84"/>
        <v>0</v>
      </c>
      <c r="CV56" s="10">
        <f>+CU56+CC56</f>
        <v>69149744.544613451</v>
      </c>
      <c r="CW56" s="17">
        <f t="shared" si="17"/>
        <v>36</v>
      </c>
      <c r="CX56" s="9" t="s">
        <v>73</v>
      </c>
      <c r="CY56" s="49">
        <f>+CC56</f>
        <v>69149744.544613451</v>
      </c>
      <c r="CZ56" s="10">
        <f>+CU56</f>
        <v>0</v>
      </c>
      <c r="DA56" s="10">
        <f>+CZ56+CY56</f>
        <v>69149744.544613451</v>
      </c>
    </row>
    <row r="57" spans="1:106" ht="15" customHeight="1" thickBot="1" x14ac:dyDescent="0.25">
      <c r="G57" s="269"/>
      <c r="L57" s="1"/>
      <c r="P57"/>
      <c r="Q57"/>
      <c r="R57"/>
      <c r="T57" s="56"/>
      <c r="U57" s="56"/>
      <c r="V57" s="56"/>
      <c r="W57" s="56"/>
      <c r="X57" s="56"/>
      <c r="Y57" s="56"/>
      <c r="Z57" s="56"/>
      <c r="AA57" s="56"/>
      <c r="AN57" s="17"/>
      <c r="AO57" s="1"/>
      <c r="AP57" s="1"/>
      <c r="AQ57"/>
      <c r="BU57" s="37"/>
      <c r="BV57" s="37"/>
      <c r="BW57" s="37"/>
      <c r="BX57" s="37"/>
      <c r="BY57" s="37"/>
      <c r="CA57" s="107">
        <f t="shared" ref="CA57" si="91">+CA56+1</f>
        <v>45</v>
      </c>
      <c r="CB57" s="100" t="s">
        <v>74</v>
      </c>
      <c r="CC57" s="416">
        <f>SUM(CC55:CC56)</f>
        <v>2375130073.1310239</v>
      </c>
      <c r="CD57" s="11"/>
      <c r="CE57" s="11">
        <f>SUM(CE55:CE56)</f>
        <v>0</v>
      </c>
      <c r="CF57" s="11">
        <f>SUM(CF55:CF56)</f>
        <v>0</v>
      </c>
      <c r="CG57" s="11">
        <f>SUM(CG55:CG56)</f>
        <v>0</v>
      </c>
      <c r="CH57" s="11">
        <f>SUM(CH55:CH56)</f>
        <v>0</v>
      </c>
      <c r="CI57" s="11"/>
      <c r="CJ57" s="11">
        <f>SUM(CJ55:CJ56)</f>
        <v>0</v>
      </c>
      <c r="CK57" s="17">
        <f t="shared" si="15"/>
        <v>37</v>
      </c>
      <c r="CL57" s="100" t="s">
        <v>74</v>
      </c>
      <c r="CM57" s="11">
        <f>SUM(CM55:CM56)</f>
        <v>0</v>
      </c>
      <c r="CN57" s="11">
        <f>SUM(CN55:CN56)</f>
        <v>0</v>
      </c>
      <c r="CO57" s="11">
        <f>SUM(CO55:CO56)</f>
        <v>0</v>
      </c>
      <c r="CP57" s="11">
        <f>SUM(CP55:CP56)</f>
        <v>0</v>
      </c>
      <c r="CQ57" s="11">
        <f>SUM(CQ55:CQ56)</f>
        <v>0</v>
      </c>
      <c r="CR57" s="11">
        <f t="shared" ref="CR57:CT57" si="92">SUM(CR55:CR56)</f>
        <v>0</v>
      </c>
      <c r="CS57" s="11">
        <f t="shared" si="92"/>
        <v>-49838932.762653604</v>
      </c>
      <c r="CT57" s="11">
        <f t="shared" si="92"/>
        <v>-24183574.225156937</v>
      </c>
      <c r="CU57" s="11">
        <f t="shared" si="84"/>
        <v>-74022506.987810537</v>
      </c>
      <c r="CV57" s="11">
        <f>SUM(CV55:CV56)</f>
        <v>2301107566.1432133</v>
      </c>
      <c r="CW57" s="17">
        <f t="shared" si="17"/>
        <v>37</v>
      </c>
      <c r="CX57" s="100" t="s">
        <v>74</v>
      </c>
      <c r="CY57" s="11">
        <f>SUM(CY55:CY56)</f>
        <v>2375130073.1310239</v>
      </c>
      <c r="CZ57" s="11">
        <f>SUM(CZ55:CZ56)</f>
        <v>-74022506.987810537</v>
      </c>
      <c r="DA57" s="11">
        <f>SUM(DA55:DA56)</f>
        <v>2301107566.1432133</v>
      </c>
    </row>
    <row r="58" spans="1:106" ht="15" customHeight="1" thickTop="1" x14ac:dyDescent="0.2">
      <c r="G58" s="269"/>
      <c r="H58" s="193"/>
      <c r="I58" s="193"/>
      <c r="J58" s="193"/>
      <c r="K58" s="193"/>
      <c r="L58" s="1"/>
      <c r="P58"/>
      <c r="Q58"/>
      <c r="R58"/>
      <c r="T58" s="56"/>
      <c r="U58" s="56"/>
      <c r="V58" s="56"/>
      <c r="W58" s="56"/>
      <c r="X58" s="56"/>
      <c r="Y58" s="56"/>
      <c r="Z58" s="56"/>
      <c r="AA58" s="56"/>
      <c r="AN58" s="17"/>
      <c r="AO58" s="98"/>
      <c r="AP58" s="101"/>
      <c r="AQ58"/>
      <c r="BU58" s="37"/>
      <c r="BV58" s="37"/>
      <c r="BW58" s="37"/>
      <c r="BX58" s="37"/>
      <c r="BY58" s="37"/>
      <c r="CW58" s="17"/>
    </row>
    <row r="59" spans="1:106" ht="15" customHeight="1" x14ac:dyDescent="0.2">
      <c r="A59" s="278"/>
      <c r="B59" s="278"/>
      <c r="C59" s="278"/>
      <c r="D59" s="278"/>
      <c r="E59" s="278"/>
      <c r="F59" s="278"/>
      <c r="G59" s="269"/>
      <c r="H59" s="193"/>
      <c r="I59" s="193"/>
      <c r="J59" s="193"/>
      <c r="K59" s="193"/>
      <c r="L59" s="1"/>
      <c r="T59" s="56"/>
      <c r="U59" s="56"/>
      <c r="V59" s="56"/>
      <c r="W59" s="56"/>
      <c r="X59" s="56"/>
      <c r="Y59" s="56"/>
      <c r="Z59" s="56"/>
      <c r="AA59" s="56"/>
      <c r="AN59" s="17"/>
      <c r="AO59" s="98"/>
      <c r="AP59" s="101"/>
      <c r="AQ59"/>
      <c r="BU59" s="37"/>
      <c r="BV59" s="37"/>
      <c r="BW59" s="37"/>
      <c r="BX59" s="37"/>
      <c r="BY59" s="37"/>
      <c r="BZ59" s="3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</row>
    <row r="60" spans="1:106" ht="15" customHeight="1" x14ac:dyDescent="0.2">
      <c r="A60" s="186"/>
      <c r="G60" s="269"/>
      <c r="H60" s="193"/>
      <c r="I60" s="193"/>
      <c r="J60" s="193"/>
      <c r="K60" s="193"/>
      <c r="L60" s="1"/>
      <c r="T60" s="56"/>
      <c r="U60" s="56"/>
      <c r="V60" s="56"/>
      <c r="W60" s="56"/>
      <c r="X60" s="56"/>
      <c r="Y60" s="56"/>
      <c r="Z60" s="56"/>
      <c r="AA60" s="56"/>
      <c r="AN60" s="82"/>
      <c r="AO60" s="98"/>
      <c r="AP60" s="101"/>
      <c r="AQ60"/>
      <c r="AS60" s="153"/>
      <c r="BU60" s="37"/>
      <c r="BV60" s="37"/>
      <c r="BW60" s="37"/>
      <c r="BX60" s="37"/>
      <c r="BY60" s="37"/>
      <c r="CB60" s="515" t="s">
        <v>328</v>
      </c>
      <c r="CC60" s="515"/>
      <c r="CD60" s="515"/>
      <c r="CE60" s="515"/>
      <c r="CF60" s="515"/>
      <c r="CG60" s="515"/>
      <c r="CH60" s="515"/>
      <c r="CI60" s="515"/>
      <c r="CJ60" s="515"/>
      <c r="CK60" s="515"/>
      <c r="CL60" s="515"/>
      <c r="CM60" s="515"/>
      <c r="CN60" s="515"/>
      <c r="CO60" s="515"/>
      <c r="CP60" s="515"/>
      <c r="CQ60" s="515"/>
      <c r="CR60" s="515"/>
      <c r="CS60" s="515"/>
      <c r="CT60" s="515"/>
      <c r="CU60" s="515"/>
      <c r="CV60" s="515"/>
      <c r="CW60" s="515"/>
      <c r="CX60" s="515"/>
      <c r="CY60" s="515"/>
      <c r="CZ60" s="515"/>
      <c r="DA60" s="515"/>
      <c r="DB60" s="479" t="s">
        <v>321</v>
      </c>
    </row>
    <row r="61" spans="1:106" ht="15" customHeight="1" x14ac:dyDescent="0.2">
      <c r="A61" s="186"/>
      <c r="G61" s="269"/>
      <c r="H61" s="193"/>
      <c r="I61" s="193"/>
      <c r="J61" s="193"/>
      <c r="K61" s="193"/>
      <c r="L61" s="1"/>
      <c r="T61" s="56"/>
      <c r="U61" s="56"/>
      <c r="V61" s="56"/>
      <c r="W61" s="56"/>
      <c r="X61" s="56"/>
      <c r="Y61" s="56"/>
      <c r="Z61" s="56"/>
      <c r="AA61" s="56"/>
      <c r="AN61" s="21"/>
      <c r="AO61" s="98"/>
      <c r="AP61" s="102"/>
      <c r="BU61" s="37"/>
      <c r="BV61" s="37"/>
      <c r="BW61" s="37"/>
      <c r="BX61" s="37"/>
      <c r="BY61" s="37"/>
      <c r="BZ61" s="70"/>
      <c r="CB61" s="18" t="s">
        <v>322</v>
      </c>
      <c r="CC61" s="483">
        <v>131577206.98000002</v>
      </c>
      <c r="CD61" s="483">
        <v>50010.028092253473</v>
      </c>
      <c r="CE61" s="483">
        <v>3248482.9177814596</v>
      </c>
      <c r="CF61" s="483">
        <v>-206975.50512730144</v>
      </c>
      <c r="CG61" s="483">
        <v>12902310.123364996</v>
      </c>
      <c r="CH61" s="483">
        <v>112741.13631331921</v>
      </c>
      <c r="CI61" s="483">
        <v>-161380.80420999997</v>
      </c>
      <c r="CJ61" s="483">
        <v>-55031</v>
      </c>
      <c r="CK61" s="483">
        <v>0</v>
      </c>
      <c r="CL61" s="373" t="s">
        <v>322</v>
      </c>
      <c r="CM61" s="483">
        <v>-1492635.697217854</v>
      </c>
      <c r="CN61" s="483">
        <v>24570.23715579708</v>
      </c>
      <c r="CO61" s="483">
        <v>10749.453631944525</v>
      </c>
      <c r="CP61" s="483">
        <v>-80668.137876548644</v>
      </c>
      <c r="CQ61" s="483">
        <v>-102906.41920436764</v>
      </c>
      <c r="CR61" s="483">
        <v>184631.15422121563</v>
      </c>
      <c r="CS61" s="483">
        <v>0</v>
      </c>
      <c r="CT61" s="483">
        <v>672117.92486183951</v>
      </c>
      <c r="CU61" s="483">
        <v>15106015.411786735</v>
      </c>
      <c r="CV61" s="483">
        <v>146683222.39178681</v>
      </c>
      <c r="CW61" s="483">
        <v>0</v>
      </c>
      <c r="CX61" s="373" t="s">
        <v>322</v>
      </c>
      <c r="CY61" s="483">
        <v>131577206.98000002</v>
      </c>
      <c r="CZ61" s="483">
        <v>15106015.411786735</v>
      </c>
      <c r="DA61" s="483">
        <v>146683222.39178669</v>
      </c>
      <c r="DB61" s="479" t="s">
        <v>321</v>
      </c>
    </row>
    <row r="62" spans="1:106" ht="14.45" customHeight="1" x14ac:dyDescent="0.2">
      <c r="A62" s="186"/>
      <c r="G62" s="269"/>
      <c r="H62" s="193"/>
      <c r="I62" s="193"/>
      <c r="J62" s="193"/>
      <c r="K62" s="193"/>
      <c r="L62" s="1"/>
      <c r="T62" s="56"/>
      <c r="U62" s="56"/>
      <c r="V62" s="56"/>
      <c r="W62" s="56"/>
      <c r="X62" s="56"/>
      <c r="Y62" s="56"/>
      <c r="Z62" s="56"/>
      <c r="AA62" s="56"/>
      <c r="AN62" s="21"/>
      <c r="AO62" s="98"/>
      <c r="AP62" s="102"/>
      <c r="BU62" s="37"/>
      <c r="BV62" s="37"/>
      <c r="BW62" s="37"/>
      <c r="BX62" s="37"/>
      <c r="BY62" s="37"/>
      <c r="BZ62" s="72"/>
      <c r="CJ62" s="483"/>
      <c r="CK62" s="483"/>
      <c r="CL62" s="479"/>
      <c r="CM62" s="483">
        <v>0</v>
      </c>
      <c r="CN62" s="483"/>
      <c r="CO62" s="483"/>
      <c r="CP62" s="483"/>
      <c r="CQ62" s="483"/>
      <c r="CR62" s="483"/>
      <c r="CS62" s="483"/>
      <c r="CT62" s="483">
        <v>-24183574.225156937</v>
      </c>
      <c r="CU62" s="483">
        <v>-74022506.987810537</v>
      </c>
      <c r="CV62" s="483">
        <v>2301107566.1432133</v>
      </c>
      <c r="CW62" s="483">
        <v>0</v>
      </c>
      <c r="CX62" s="479" t="s">
        <v>323</v>
      </c>
      <c r="CY62" s="483">
        <v>2375130073.1310239</v>
      </c>
      <c r="CZ62" s="483">
        <v>-74022506.987810537</v>
      </c>
      <c r="DA62" s="483">
        <v>2301107566.1432133</v>
      </c>
    </row>
    <row r="63" spans="1:106" ht="15" customHeight="1" x14ac:dyDescent="0.2">
      <c r="A63" s="186"/>
      <c r="G63" s="269"/>
      <c r="H63" s="193"/>
      <c r="I63" s="193"/>
      <c r="J63" s="193"/>
      <c r="K63" s="193"/>
      <c r="L63" s="278"/>
      <c r="M63" s="278"/>
      <c r="N63" s="278"/>
      <c r="O63" s="278"/>
      <c r="T63" s="56"/>
      <c r="U63" s="56"/>
      <c r="V63" s="56"/>
      <c r="AN63" s="21"/>
      <c r="AO63" s="98"/>
      <c r="AP63" s="102"/>
      <c r="BU63" s="37"/>
      <c r="BV63" s="37"/>
      <c r="BW63" s="37"/>
      <c r="BX63" s="37"/>
      <c r="BY63" s="37"/>
      <c r="CB63" s="516" t="s">
        <v>323</v>
      </c>
      <c r="CC63" s="483">
        <v>2375130073.1310239</v>
      </c>
      <c r="CD63" s="483">
        <v>0</v>
      </c>
      <c r="CE63" s="483">
        <v>0</v>
      </c>
      <c r="CF63" s="483">
        <v>0</v>
      </c>
      <c r="CG63" s="483">
        <v>0</v>
      </c>
      <c r="CH63" s="483">
        <v>0</v>
      </c>
      <c r="CI63" s="483">
        <v>0</v>
      </c>
      <c r="CJ63" s="483">
        <v>0</v>
      </c>
      <c r="CK63" s="483">
        <v>0</v>
      </c>
      <c r="CL63" s="516" t="s">
        <v>323</v>
      </c>
      <c r="CM63" s="483">
        <v>0</v>
      </c>
      <c r="CN63" s="483">
        <v>0</v>
      </c>
      <c r="CO63" s="483">
        <v>0</v>
      </c>
      <c r="CP63" s="483">
        <v>0</v>
      </c>
      <c r="CQ63" s="483">
        <v>0</v>
      </c>
      <c r="CR63" s="483">
        <v>0</v>
      </c>
      <c r="CS63" s="483">
        <v>-49838932.762653604</v>
      </c>
      <c r="CT63" s="483">
        <v>-24183574.225156937</v>
      </c>
      <c r="CU63" s="483">
        <v>-74022506.987810537</v>
      </c>
      <c r="CV63" s="483">
        <v>2301107566.1432133</v>
      </c>
      <c r="CW63" s="483">
        <v>0</v>
      </c>
      <c r="CX63" s="516" t="s">
        <v>323</v>
      </c>
      <c r="CY63" s="483">
        <v>2375130073.1310239</v>
      </c>
      <c r="CZ63" s="483">
        <v>-74022506.987810537</v>
      </c>
      <c r="DA63" s="483">
        <v>2301107566.1432133</v>
      </c>
      <c r="DB63" s="479" t="s">
        <v>321</v>
      </c>
    </row>
    <row r="64" spans="1:106" ht="15" customHeight="1" x14ac:dyDescent="0.2">
      <c r="A64" s="186"/>
      <c r="G64" s="269"/>
      <c r="H64" s="193"/>
      <c r="I64" s="193"/>
      <c r="J64" s="193"/>
      <c r="K64" s="193"/>
      <c r="L64" s="1"/>
      <c r="T64" s="56"/>
      <c r="U64" s="56"/>
      <c r="V64" s="56"/>
      <c r="AN64" s="21"/>
      <c r="AO64" s="98"/>
      <c r="AP64" s="102"/>
      <c r="BU64" s="37"/>
      <c r="BV64" s="37"/>
      <c r="BW64" s="37"/>
      <c r="BX64" s="37"/>
      <c r="BY64" s="37"/>
      <c r="BZ64" s="23"/>
      <c r="CB64" s="517" t="s">
        <v>324</v>
      </c>
      <c r="CC64" s="517"/>
      <c r="CD64" s="517"/>
      <c r="CE64" s="517"/>
      <c r="CF64" s="517"/>
      <c r="CG64" s="517"/>
      <c r="CH64" s="517"/>
      <c r="CI64" s="517"/>
      <c r="CJ64" s="517"/>
      <c r="CK64" s="517"/>
      <c r="CL64" s="517"/>
      <c r="CM64" s="517"/>
      <c r="CN64" s="517"/>
      <c r="CO64" s="517"/>
      <c r="CP64" s="517"/>
      <c r="CQ64" s="517"/>
      <c r="CR64" s="517"/>
      <c r="CS64" s="517"/>
      <c r="CT64" s="517"/>
      <c r="CU64" s="517"/>
      <c r="CV64" s="517"/>
      <c r="CW64" s="517"/>
      <c r="CX64" s="517"/>
      <c r="CY64" s="517"/>
      <c r="CZ64" s="517"/>
      <c r="DA64" s="517"/>
      <c r="DB64" s="479" t="s">
        <v>321</v>
      </c>
    </row>
    <row r="65" spans="1:106" ht="15" customHeight="1" x14ac:dyDescent="0.2">
      <c r="A65" s="186"/>
      <c r="G65" s="269"/>
      <c r="H65" s="193"/>
      <c r="I65" s="193"/>
      <c r="J65" s="193"/>
      <c r="K65" s="193"/>
      <c r="L65" s="1"/>
      <c r="P65" s="278"/>
      <c r="Q65" s="278"/>
      <c r="R65" s="278"/>
      <c r="T65" s="56"/>
      <c r="U65" s="56"/>
      <c r="V65" s="56"/>
      <c r="AN65" s="21"/>
      <c r="AO65" s="98"/>
      <c r="AP65" s="102"/>
      <c r="BU65" s="37"/>
      <c r="BV65" s="37"/>
      <c r="BW65" s="37"/>
      <c r="BX65" s="37"/>
      <c r="BY65" s="37"/>
      <c r="BZ65" s="23"/>
      <c r="CB65" s="518" t="s">
        <v>322</v>
      </c>
      <c r="CC65" s="519">
        <f t="shared" ref="CC65:CJ65" si="93">+CC44</f>
        <v>131577206.98000002</v>
      </c>
      <c r="CD65" s="519">
        <f t="shared" si="93"/>
        <v>50010.028092253473</v>
      </c>
      <c r="CE65" s="519">
        <f t="shared" si="93"/>
        <v>3248482.9177814596</v>
      </c>
      <c r="CF65" s="519">
        <f t="shared" si="93"/>
        <v>-206975.50512730144</v>
      </c>
      <c r="CG65" s="519">
        <f t="shared" si="93"/>
        <v>12902310.123364996</v>
      </c>
      <c r="CH65" s="519">
        <f t="shared" si="93"/>
        <v>112741.13631331921</v>
      </c>
      <c r="CI65" s="519">
        <f t="shared" si="93"/>
        <v>-161380.80420999997</v>
      </c>
      <c r="CJ65" s="519">
        <f t="shared" si="93"/>
        <v>-55031</v>
      </c>
      <c r="CK65" s="519">
        <v>0</v>
      </c>
      <c r="CL65" s="518" t="s">
        <v>322</v>
      </c>
      <c r="CM65" s="519">
        <f t="shared" ref="CM65:CV65" si="94">+CM44</f>
        <v>-1493271.006015511</v>
      </c>
      <c r="CN65" s="519">
        <f t="shared" si="94"/>
        <v>24570.23715579708</v>
      </c>
      <c r="CO65" s="519">
        <f t="shared" si="94"/>
        <v>10749.453631944525</v>
      </c>
      <c r="CP65" s="519">
        <f t="shared" si="94"/>
        <v>-80668.137876548644</v>
      </c>
      <c r="CQ65" s="519">
        <f t="shared" si="94"/>
        <v>-102906.41920436764</v>
      </c>
      <c r="CR65" s="519">
        <f t="shared" si="94"/>
        <v>184631.15422121563</v>
      </c>
      <c r="CS65" s="519">
        <f t="shared" ref="CS65:CT65" si="95">+CS44</f>
        <v>0</v>
      </c>
      <c r="CT65" s="519">
        <f t="shared" si="95"/>
        <v>672117.92486183951</v>
      </c>
      <c r="CU65" s="519">
        <f t="shared" si="94"/>
        <v>15105380.102989078</v>
      </c>
      <c r="CV65" s="519">
        <f t="shared" si="94"/>
        <v>146682587.08298922</v>
      </c>
      <c r="CW65" s="519">
        <v>0</v>
      </c>
      <c r="CX65" s="518" t="s">
        <v>322</v>
      </c>
      <c r="CY65" s="519">
        <f>+CY44</f>
        <v>131577206.98000002</v>
      </c>
      <c r="CZ65" s="519">
        <f>+CZ44</f>
        <v>15105380.102989078</v>
      </c>
      <c r="DA65" s="519">
        <f>+DA44</f>
        <v>146682587.0829891</v>
      </c>
      <c r="DB65" s="479" t="s">
        <v>321</v>
      </c>
    </row>
    <row r="66" spans="1:106" ht="15" customHeight="1" x14ac:dyDescent="0.2">
      <c r="A66" s="186"/>
      <c r="G66" s="269"/>
      <c r="H66" s="193"/>
      <c r="I66" s="193"/>
      <c r="J66" s="193"/>
      <c r="K66" s="193"/>
      <c r="L66" s="1"/>
      <c r="T66" s="56"/>
      <c r="U66" s="56"/>
      <c r="V66" s="56"/>
      <c r="AN66" s="21"/>
      <c r="AO66" s="98"/>
      <c r="AP66" s="102"/>
      <c r="BU66" s="37"/>
      <c r="BV66" s="37"/>
      <c r="BW66" s="37"/>
      <c r="BX66" s="37"/>
      <c r="BY66" s="37"/>
      <c r="BZ66" s="20"/>
      <c r="CB66" s="520" t="s">
        <v>323</v>
      </c>
      <c r="CC66" s="521">
        <f t="shared" ref="CC66:CJ66" si="96">+CC46</f>
        <v>2375130073.1310239</v>
      </c>
      <c r="CD66" s="521">
        <f t="shared" si="96"/>
        <v>0</v>
      </c>
      <c r="CE66" s="521">
        <f t="shared" si="96"/>
        <v>0</v>
      </c>
      <c r="CF66" s="521">
        <f t="shared" si="96"/>
        <v>0</v>
      </c>
      <c r="CG66" s="521">
        <f t="shared" si="96"/>
        <v>0</v>
      </c>
      <c r="CH66" s="521">
        <f t="shared" si="96"/>
        <v>0</v>
      </c>
      <c r="CI66" s="521">
        <f t="shared" si="96"/>
        <v>0</v>
      </c>
      <c r="CJ66" s="521">
        <f t="shared" si="96"/>
        <v>0</v>
      </c>
      <c r="CK66" s="521">
        <v>0</v>
      </c>
      <c r="CL66" s="520" t="s">
        <v>323</v>
      </c>
      <c r="CM66" s="521">
        <f t="shared" ref="CM66:CV66" si="97">+CM46</f>
        <v>0</v>
      </c>
      <c r="CN66" s="521">
        <f t="shared" si="97"/>
        <v>0</v>
      </c>
      <c r="CO66" s="521">
        <f t="shared" si="97"/>
        <v>0</v>
      </c>
      <c r="CP66" s="521">
        <f t="shared" si="97"/>
        <v>0</v>
      </c>
      <c r="CQ66" s="521">
        <f t="shared" si="97"/>
        <v>0</v>
      </c>
      <c r="CR66" s="521">
        <f t="shared" si="97"/>
        <v>0</v>
      </c>
      <c r="CS66" s="521">
        <f t="shared" ref="CS66:CT66" si="98">+CS46</f>
        <v>-49838932.762653604</v>
      </c>
      <c r="CT66" s="521">
        <f t="shared" si="98"/>
        <v>-24183574.225156937</v>
      </c>
      <c r="CU66" s="521">
        <f t="shared" si="97"/>
        <v>-74022506.987810537</v>
      </c>
      <c r="CV66" s="521">
        <f t="shared" si="97"/>
        <v>2301107566.1432133</v>
      </c>
      <c r="CW66" s="521">
        <v>0</v>
      </c>
      <c r="CX66" s="520" t="s">
        <v>323</v>
      </c>
      <c r="CY66" s="521">
        <f>+CY46</f>
        <v>2375130073.1310239</v>
      </c>
      <c r="CZ66" s="521">
        <f>+CZ46</f>
        <v>-74022506.987810537</v>
      </c>
      <c r="DA66" s="521">
        <f>+DA46</f>
        <v>2301107566.1432133</v>
      </c>
      <c r="DB66" s="479" t="s">
        <v>321</v>
      </c>
    </row>
    <row r="67" spans="1:106" ht="15" customHeight="1" x14ac:dyDescent="0.2">
      <c r="A67" s="186"/>
      <c r="G67" s="269"/>
      <c r="H67" s="193"/>
      <c r="I67" s="193"/>
      <c r="J67" s="193"/>
      <c r="K67" s="193"/>
      <c r="L67" s="1"/>
      <c r="T67" s="56"/>
      <c r="U67" s="56"/>
      <c r="V67" s="56"/>
      <c r="AN67" s="21"/>
      <c r="AO67" s="98"/>
      <c r="AP67" s="102"/>
      <c r="BU67" s="37"/>
      <c r="BV67" s="37"/>
      <c r="BW67" s="37"/>
      <c r="BX67" s="37"/>
      <c r="BY67" s="37"/>
      <c r="BZ67" s="23"/>
      <c r="CB67" s="517" t="s">
        <v>325</v>
      </c>
      <c r="CC67" s="517"/>
      <c r="CD67" s="517"/>
      <c r="CE67" s="517"/>
      <c r="CF67" s="517"/>
      <c r="CG67" s="517"/>
      <c r="CH67" s="517"/>
      <c r="CI67" s="517"/>
      <c r="CJ67" s="517"/>
      <c r="CK67" s="517"/>
      <c r="CL67" s="517" t="s">
        <v>325</v>
      </c>
      <c r="CM67" s="517"/>
      <c r="CN67" s="517"/>
      <c r="CO67" s="517"/>
      <c r="CP67" s="517"/>
      <c r="CQ67" s="517"/>
      <c r="CR67" s="517"/>
      <c r="CS67" s="517"/>
      <c r="CT67" s="517"/>
      <c r="CU67" s="517"/>
      <c r="CV67" s="517"/>
      <c r="CW67" s="517"/>
      <c r="CX67" s="517" t="s">
        <v>325</v>
      </c>
      <c r="CY67" s="517"/>
      <c r="CZ67" s="517"/>
      <c r="DA67" s="517"/>
      <c r="DB67" s="479" t="s">
        <v>321</v>
      </c>
    </row>
    <row r="68" spans="1:106" ht="15" customHeight="1" x14ac:dyDescent="0.2">
      <c r="A68" s="186"/>
      <c r="G68" s="269"/>
      <c r="H68" s="193"/>
      <c r="I68" s="193"/>
      <c r="J68" s="193"/>
      <c r="K68" s="193"/>
      <c r="L68" s="1"/>
      <c r="S68" s="278"/>
      <c r="T68" s="278"/>
      <c r="U68" s="278"/>
      <c r="V68" s="56"/>
      <c r="AN68" s="21"/>
      <c r="AO68" s="98"/>
      <c r="AP68" s="102"/>
      <c r="BU68" s="37"/>
      <c r="BV68" s="37"/>
      <c r="BW68" s="37"/>
      <c r="BX68" s="37"/>
      <c r="BY68" s="37"/>
      <c r="BZ68" s="23"/>
      <c r="CB68" s="522" t="s">
        <v>326</v>
      </c>
      <c r="CC68" s="523">
        <f t="shared" ref="CC68:CJ68" si="99">CC65-CC61</f>
        <v>0</v>
      </c>
      <c r="CD68" s="523">
        <f t="shared" si="99"/>
        <v>0</v>
      </c>
      <c r="CE68" s="534">
        <f t="shared" si="99"/>
        <v>0</v>
      </c>
      <c r="CF68" s="523">
        <f t="shared" si="99"/>
        <v>0</v>
      </c>
      <c r="CG68" s="523">
        <f t="shared" si="99"/>
        <v>0</v>
      </c>
      <c r="CH68" s="523">
        <f t="shared" si="99"/>
        <v>0</v>
      </c>
      <c r="CI68" s="523">
        <f t="shared" si="99"/>
        <v>0</v>
      </c>
      <c r="CJ68" s="523">
        <f t="shared" si="99"/>
        <v>0</v>
      </c>
      <c r="CK68" s="523">
        <v>0</v>
      </c>
      <c r="CL68" s="522" t="s">
        <v>326</v>
      </c>
      <c r="CM68" s="523">
        <f t="shared" ref="CM68:CV68" si="100">CM65-CM61</f>
        <v>-635.30879765702412</v>
      </c>
      <c r="CN68" s="523">
        <f t="shared" si="100"/>
        <v>0</v>
      </c>
      <c r="CO68" s="523">
        <f t="shared" si="100"/>
        <v>0</v>
      </c>
      <c r="CP68" s="523">
        <f t="shared" si="100"/>
        <v>0</v>
      </c>
      <c r="CQ68" s="523">
        <f t="shared" si="100"/>
        <v>0</v>
      </c>
      <c r="CR68" s="523">
        <f t="shared" si="100"/>
        <v>0</v>
      </c>
      <c r="CS68" s="523"/>
      <c r="CT68" s="523"/>
      <c r="CU68" s="523">
        <f t="shared" si="100"/>
        <v>-635.30879765748978</v>
      </c>
      <c r="CV68" s="523">
        <f t="shared" si="100"/>
        <v>-635.30879759788513</v>
      </c>
      <c r="CW68" s="523"/>
      <c r="CX68" s="522" t="s">
        <v>326</v>
      </c>
      <c r="CY68" s="523">
        <f>CY65-CY61</f>
        <v>0</v>
      </c>
      <c r="CZ68" s="523">
        <f>CZ65-CZ61</f>
        <v>-635.30879765748978</v>
      </c>
      <c r="DA68" s="523">
        <f>DA65-DA61</f>
        <v>-635.30879759788513</v>
      </c>
      <c r="DB68" s="479" t="s">
        <v>321</v>
      </c>
    </row>
    <row r="69" spans="1:106" ht="15" customHeight="1" x14ac:dyDescent="0.2">
      <c r="A69" s="186"/>
      <c r="G69" s="269"/>
      <c r="H69" s="193"/>
      <c r="I69" s="193"/>
      <c r="J69" s="193"/>
      <c r="K69" s="193"/>
      <c r="L69" s="1"/>
      <c r="AN69" s="21"/>
      <c r="AO69" s="98"/>
      <c r="AP69" s="102"/>
      <c r="AW69" s="160"/>
      <c r="BU69" s="37"/>
      <c r="BV69" s="37"/>
      <c r="BW69" s="37"/>
      <c r="BX69" s="37"/>
      <c r="BY69" s="37"/>
      <c r="BZ69" s="74"/>
      <c r="CB69" s="524" t="s">
        <v>327</v>
      </c>
      <c r="CC69" s="525">
        <f t="shared" ref="CC69:CJ69" si="101">CC66-CC63</f>
        <v>0</v>
      </c>
      <c r="CD69" s="525">
        <f t="shared" si="101"/>
        <v>0</v>
      </c>
      <c r="CE69" s="525">
        <f t="shared" si="101"/>
        <v>0</v>
      </c>
      <c r="CF69" s="525">
        <f t="shared" si="101"/>
        <v>0</v>
      </c>
      <c r="CG69" s="525">
        <f t="shared" si="101"/>
        <v>0</v>
      </c>
      <c r="CH69" s="525">
        <f t="shared" si="101"/>
        <v>0</v>
      </c>
      <c r="CI69" s="525">
        <f t="shared" si="101"/>
        <v>0</v>
      </c>
      <c r="CJ69" s="525">
        <f t="shared" si="101"/>
        <v>0</v>
      </c>
      <c r="CK69" s="525">
        <v>0</v>
      </c>
      <c r="CL69" s="524" t="s">
        <v>327</v>
      </c>
      <c r="CM69" s="525">
        <f t="shared" ref="CM69:CV69" si="102">CM66-CM63</f>
        <v>0</v>
      </c>
      <c r="CN69" s="525">
        <f t="shared" si="102"/>
        <v>0</v>
      </c>
      <c r="CO69" s="525">
        <f t="shared" si="102"/>
        <v>0</v>
      </c>
      <c r="CP69" s="525">
        <f t="shared" si="102"/>
        <v>0</v>
      </c>
      <c r="CQ69" s="525">
        <f t="shared" si="102"/>
        <v>0</v>
      </c>
      <c r="CR69" s="525">
        <f t="shared" si="102"/>
        <v>0</v>
      </c>
      <c r="CS69" s="525"/>
      <c r="CT69" s="525"/>
      <c r="CU69" s="525">
        <f t="shared" si="102"/>
        <v>0</v>
      </c>
      <c r="CV69" s="525">
        <f t="shared" si="102"/>
        <v>0</v>
      </c>
      <c r="CW69" s="525"/>
      <c r="CX69" s="524" t="s">
        <v>327</v>
      </c>
      <c r="CY69" s="525">
        <f>CY66-CY63</f>
        <v>0</v>
      </c>
      <c r="CZ69" s="525">
        <f>CZ66-CZ63</f>
        <v>0</v>
      </c>
      <c r="DA69" s="525">
        <f>DA66-DA63</f>
        <v>0</v>
      </c>
      <c r="DB69" s="479" t="s">
        <v>321</v>
      </c>
    </row>
    <row r="70" spans="1:106" ht="15" customHeight="1" x14ac:dyDescent="0.2">
      <c r="A70" s="186"/>
      <c r="G70" s="269"/>
      <c r="H70" s="278"/>
      <c r="I70" s="278"/>
      <c r="J70" s="278"/>
      <c r="K70" s="278"/>
      <c r="L70" s="1"/>
      <c r="AN70" s="21"/>
      <c r="AO70" s="98"/>
      <c r="AP70" s="102"/>
      <c r="BU70" s="37"/>
      <c r="BV70" s="37"/>
      <c r="BW70" s="37"/>
      <c r="BX70" s="37"/>
      <c r="BY70" s="37"/>
      <c r="BZ70" s="135" t="s">
        <v>20</v>
      </c>
      <c r="CC70" s="343"/>
    </row>
    <row r="71" spans="1:106" ht="15" customHeight="1" x14ac:dyDescent="0.2">
      <c r="A71" s="186"/>
      <c r="G71" s="269"/>
      <c r="H71" s="193"/>
      <c r="I71" s="193"/>
      <c r="J71" s="193"/>
      <c r="K71" s="193"/>
      <c r="L71" s="1"/>
      <c r="M71" s="186"/>
      <c r="AN71" s="21"/>
      <c r="AO71" s="98"/>
      <c r="AP71" s="102"/>
      <c r="BU71" s="37"/>
      <c r="BV71" s="37"/>
      <c r="BW71" s="37"/>
      <c r="BX71" s="37"/>
      <c r="BY71" s="37"/>
      <c r="BZ71" s="136" t="s">
        <v>20</v>
      </c>
      <c r="CA71" s="17"/>
    </row>
    <row r="72" spans="1:106" ht="15" customHeight="1" x14ac:dyDescent="0.2">
      <c r="A72" s="186"/>
      <c r="G72" s="269"/>
      <c r="H72" s="193"/>
      <c r="I72" s="193"/>
      <c r="J72" s="193"/>
      <c r="K72" s="193"/>
      <c r="BU72" s="37"/>
      <c r="BV72" s="37"/>
      <c r="BW72" s="37"/>
      <c r="BX72" s="37"/>
      <c r="BY72" s="37"/>
      <c r="BZ72" s="75"/>
      <c r="CA72" s="17"/>
    </row>
    <row r="73" spans="1:106" ht="15" customHeight="1" x14ac:dyDescent="0.2">
      <c r="A73" s="186"/>
      <c r="G73" s="269"/>
      <c r="H73" s="193"/>
      <c r="I73" s="193"/>
      <c r="J73" s="193"/>
      <c r="K73" s="193"/>
      <c r="BU73" s="37"/>
      <c r="BV73" s="37"/>
      <c r="BW73" s="37"/>
      <c r="BX73" s="37"/>
      <c r="BY73" s="37"/>
      <c r="BZ73" s="60"/>
      <c r="CA73" s="3"/>
    </row>
    <row r="74" spans="1:106" ht="15" customHeight="1" x14ac:dyDescent="0.2">
      <c r="A74" s="186"/>
      <c r="G74" s="269"/>
      <c r="H74" s="193"/>
      <c r="I74" s="193"/>
      <c r="J74" s="193"/>
      <c r="K74" s="193"/>
      <c r="BU74" s="37"/>
      <c r="BV74" s="37"/>
      <c r="BW74" s="37"/>
      <c r="BX74" s="37"/>
      <c r="BY74" s="37"/>
      <c r="BZ74" s="76"/>
      <c r="CB74" s="17"/>
      <c r="CC74" s="107"/>
      <c r="CD74" s="17"/>
      <c r="CE74" s="17"/>
      <c r="CF74" s="17"/>
      <c r="CG74" s="17"/>
      <c r="CH74" s="17"/>
      <c r="CI74" s="17"/>
      <c r="CJ74" s="17"/>
      <c r="CK74" s="17"/>
      <c r="CL74" s="17"/>
    </row>
    <row r="75" spans="1:106" ht="15" customHeight="1" x14ac:dyDescent="0.2">
      <c r="A75" s="186"/>
      <c r="G75" s="193"/>
      <c r="H75" s="193"/>
      <c r="I75" s="193"/>
      <c r="J75" s="193"/>
      <c r="K75" s="193"/>
      <c r="BU75" s="37"/>
      <c r="BV75" s="37"/>
      <c r="BW75" s="37"/>
      <c r="BX75" s="37"/>
      <c r="BY75" s="37"/>
      <c r="BZ75" s="60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07"/>
      <c r="CT75" s="107"/>
      <c r="CU75" s="107"/>
    </row>
    <row r="76" spans="1:106" ht="15" customHeight="1" x14ac:dyDescent="0.2">
      <c r="A76" s="186"/>
      <c r="G76" s="193"/>
      <c r="H76" s="193"/>
      <c r="I76" s="193"/>
      <c r="J76" s="193"/>
      <c r="K76" s="193"/>
      <c r="BU76" s="37"/>
      <c r="BV76" s="37"/>
      <c r="BW76" s="37"/>
      <c r="BX76" s="37"/>
      <c r="BY76" s="37"/>
      <c r="BZ76" s="60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</row>
    <row r="77" spans="1:106" ht="15" customHeight="1" x14ac:dyDescent="0.2">
      <c r="A77" s="186"/>
      <c r="G77" s="278"/>
      <c r="H77" s="193"/>
      <c r="I77" s="193"/>
      <c r="J77" s="193"/>
      <c r="K77" s="193"/>
      <c r="BU77" s="37"/>
      <c r="BV77" s="37"/>
      <c r="BW77" s="37"/>
      <c r="BX77" s="37"/>
      <c r="BY77" s="37"/>
      <c r="BZ77" s="7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07"/>
      <c r="CT77" s="107"/>
      <c r="CU77" s="107"/>
    </row>
    <row r="78" spans="1:106" ht="15" customHeight="1" x14ac:dyDescent="0.2">
      <c r="A78" s="186"/>
      <c r="G78" s="193"/>
      <c r="H78" s="193"/>
      <c r="I78" s="193"/>
      <c r="J78" s="193"/>
      <c r="K78" s="193"/>
      <c r="W78" s="18"/>
      <c r="X78" s="18"/>
      <c r="Y78" s="18"/>
      <c r="Z78" s="18"/>
      <c r="AA78" s="18"/>
      <c r="BU78" s="37"/>
      <c r="BV78" s="37"/>
      <c r="BW78" s="37"/>
      <c r="BX78" s="37"/>
      <c r="BY78" s="37"/>
      <c r="BZ78" s="76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07"/>
      <c r="CT78" s="107"/>
      <c r="CU78" s="107"/>
    </row>
    <row r="79" spans="1:106" ht="15" customHeight="1" x14ac:dyDescent="0.2">
      <c r="G79" s="193"/>
      <c r="H79" s="193"/>
      <c r="I79" s="193"/>
      <c r="J79" s="193"/>
      <c r="K79" s="193"/>
      <c r="BU79" s="17"/>
      <c r="BY79" s="133" t="s">
        <v>20</v>
      </c>
      <c r="BZ79" s="63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07"/>
      <c r="CT79" s="107"/>
      <c r="CU79" s="107"/>
    </row>
    <row r="80" spans="1:106" ht="15" customHeight="1" x14ac:dyDescent="0.2">
      <c r="G80" s="193"/>
      <c r="H80" s="193"/>
      <c r="I80" s="193"/>
      <c r="J80" s="193"/>
      <c r="K80" s="193"/>
      <c r="BU80" s="17"/>
      <c r="BY80" s="137"/>
      <c r="BZ80" s="78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07"/>
      <c r="CT80" s="107"/>
      <c r="CU80" s="107"/>
    </row>
    <row r="81" spans="7:105" ht="15" customHeight="1" x14ac:dyDescent="0.2">
      <c r="G81" s="193"/>
      <c r="H81" s="193"/>
      <c r="I81" s="193"/>
      <c r="J81" s="193"/>
      <c r="K81" s="193"/>
      <c r="BU81" s="58"/>
      <c r="BY81" s="60"/>
      <c r="BZ81" s="78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07"/>
      <c r="CT81" s="107"/>
      <c r="CU81" s="107"/>
    </row>
    <row r="82" spans="7:105" ht="15" customHeight="1" x14ac:dyDescent="0.2">
      <c r="G82" s="193"/>
      <c r="H82" s="193"/>
      <c r="I82" s="193"/>
      <c r="J82" s="193"/>
      <c r="K82" s="193"/>
      <c r="BU82" s="17"/>
      <c r="BX82" s="103"/>
      <c r="BY82" s="137"/>
      <c r="BZ82" s="78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07"/>
      <c r="CT82" s="107"/>
      <c r="CU82" s="107"/>
    </row>
    <row r="83" spans="7:105" ht="15" customHeight="1" x14ac:dyDescent="0.2">
      <c r="G83" s="193"/>
      <c r="H83" s="193"/>
      <c r="I83" s="193"/>
      <c r="J83" s="193"/>
      <c r="K83" s="193"/>
      <c r="BU83" s="17"/>
      <c r="BY83" s="77"/>
      <c r="BZ83" s="78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07"/>
      <c r="CT83" s="107"/>
      <c r="CU83" s="107"/>
    </row>
    <row r="84" spans="7:105" ht="15" customHeight="1" x14ac:dyDescent="0.2">
      <c r="G84" s="193"/>
      <c r="H84" s="193"/>
      <c r="I84" s="193"/>
      <c r="J84" s="193"/>
      <c r="K84" s="193"/>
      <c r="S84" s="18"/>
      <c r="T84" s="18"/>
      <c r="U84" s="18"/>
      <c r="V84" s="18"/>
      <c r="BU84" s="17"/>
      <c r="BY84" s="60"/>
      <c r="BZ84" s="78"/>
      <c r="CA84" s="61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07"/>
      <c r="CT84" s="107"/>
      <c r="CU84" s="107"/>
    </row>
    <row r="85" spans="7:105" ht="15" customHeight="1" x14ac:dyDescent="0.2">
      <c r="G85" s="193"/>
      <c r="H85" s="193"/>
      <c r="I85" s="193"/>
      <c r="J85" s="193"/>
      <c r="K85" s="193"/>
      <c r="BU85" s="17"/>
      <c r="BV85" s="37"/>
      <c r="BW85" s="37"/>
      <c r="BX85" s="37"/>
      <c r="BY85" s="37"/>
      <c r="BZ85" s="37"/>
      <c r="CA85" s="73"/>
      <c r="CB85" s="61"/>
      <c r="CC85" s="61"/>
      <c r="CD85" s="61"/>
      <c r="CE85" s="61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07"/>
      <c r="CT85" s="107"/>
      <c r="CU85" s="107"/>
    </row>
    <row r="86" spans="7:105" ht="15" customHeight="1" x14ac:dyDescent="0.2">
      <c r="G86" s="193"/>
      <c r="H86" s="193"/>
      <c r="I86" s="193"/>
      <c r="J86" s="193"/>
      <c r="K86" s="193"/>
      <c r="W86" s="48"/>
      <c r="X86" s="48"/>
      <c r="Y86" s="48"/>
      <c r="Z86" s="48"/>
      <c r="AA86" s="48"/>
      <c r="BU86" s="17"/>
      <c r="BV86" s="37"/>
      <c r="BW86" s="37"/>
      <c r="BX86" s="37"/>
      <c r="BY86" s="37"/>
      <c r="BZ86" s="37"/>
      <c r="CB86" s="73"/>
      <c r="CC86" s="73"/>
      <c r="CD86" s="73"/>
      <c r="CE86" s="73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07"/>
      <c r="CT86" s="107"/>
      <c r="CU86" s="107"/>
    </row>
    <row r="87" spans="7:105" ht="15" customHeight="1" x14ac:dyDescent="0.2">
      <c r="G87" s="193"/>
      <c r="H87" s="193"/>
      <c r="I87" s="193"/>
      <c r="J87" s="193"/>
      <c r="K87" s="193"/>
      <c r="W87" s="48"/>
      <c r="X87" s="48"/>
      <c r="Y87" s="48"/>
      <c r="Z87" s="48"/>
      <c r="AA87" s="48"/>
      <c r="BU87" s="17"/>
      <c r="BV87" s="37"/>
      <c r="BW87" s="37"/>
      <c r="BX87" s="37"/>
      <c r="BY87" s="37"/>
      <c r="BZ87" s="3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07"/>
      <c r="CT87" s="107"/>
      <c r="CU87" s="107"/>
    </row>
    <row r="88" spans="7:105" ht="15" customHeight="1" x14ac:dyDescent="0.2">
      <c r="G88" s="193"/>
      <c r="H88" s="193"/>
      <c r="I88" s="193"/>
      <c r="J88" s="193"/>
      <c r="K88" s="193"/>
      <c r="W88" s="48"/>
      <c r="X88" s="48"/>
      <c r="Y88" s="48"/>
      <c r="Z88" s="48"/>
      <c r="AA88" s="48"/>
      <c r="BU88" s="17"/>
      <c r="BV88" s="37"/>
      <c r="BW88" s="37"/>
      <c r="BX88" s="37"/>
      <c r="BY88" s="37"/>
      <c r="BZ88" s="3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07"/>
      <c r="CT88" s="107"/>
      <c r="CU88" s="107"/>
    </row>
    <row r="89" spans="7:105" ht="15" customHeight="1" x14ac:dyDescent="0.2">
      <c r="G89" s="193"/>
      <c r="H89" s="193"/>
      <c r="I89" s="193"/>
      <c r="J89" s="193"/>
      <c r="K89" s="193"/>
      <c r="W89" s="48"/>
      <c r="X89" s="48"/>
      <c r="Y89" s="48"/>
      <c r="Z89" s="48"/>
      <c r="AA89" s="48"/>
      <c r="BU89" s="17"/>
      <c r="BV89" s="37"/>
      <c r="BW89" s="37"/>
      <c r="BX89" s="37"/>
      <c r="BY89" s="37"/>
      <c r="BZ89" s="37"/>
      <c r="CM89" s="17"/>
      <c r="CN89" s="17"/>
      <c r="CO89" s="17"/>
      <c r="CV89" s="17"/>
    </row>
    <row r="90" spans="7:105" ht="15" customHeight="1" x14ac:dyDescent="0.2">
      <c r="G90" s="193"/>
      <c r="H90" s="193"/>
      <c r="I90" s="193"/>
      <c r="J90" s="193"/>
      <c r="K90" s="193"/>
      <c r="W90" s="48"/>
      <c r="X90" s="48"/>
      <c r="Y90" s="48"/>
      <c r="Z90" s="48"/>
      <c r="AA90" s="48"/>
      <c r="BU90" s="17"/>
      <c r="BV90" s="37"/>
      <c r="BW90" s="37"/>
      <c r="BX90" s="37"/>
      <c r="BY90" s="37"/>
      <c r="BZ90" s="37"/>
      <c r="CM90" s="17"/>
      <c r="CN90" s="17"/>
      <c r="CO90" s="17"/>
      <c r="CV90" s="17"/>
    </row>
    <row r="91" spans="7:105" ht="15" customHeight="1" x14ac:dyDescent="0.2">
      <c r="G91" s="193"/>
      <c r="H91" s="193"/>
      <c r="I91" s="193"/>
      <c r="J91" s="193"/>
      <c r="K91" s="193"/>
      <c r="W91" s="48"/>
      <c r="X91" s="48"/>
      <c r="Y91" s="48"/>
      <c r="Z91" s="48"/>
      <c r="AA91" s="48"/>
      <c r="BU91" s="17"/>
      <c r="BV91" s="37"/>
      <c r="BW91" s="37"/>
      <c r="BX91" s="37"/>
      <c r="BY91" s="37"/>
      <c r="BZ91" s="37"/>
      <c r="CA91" s="17"/>
      <c r="CK91" s="17"/>
      <c r="CL91" s="17"/>
      <c r="CM91" s="17"/>
      <c r="CN91" s="17"/>
      <c r="CO91" s="17"/>
      <c r="CV91" s="17"/>
    </row>
    <row r="92" spans="7:105" ht="15" customHeight="1" x14ac:dyDescent="0.2">
      <c r="G92" s="193"/>
      <c r="H92" s="193"/>
      <c r="I92" s="193"/>
      <c r="J92" s="193"/>
      <c r="K92" s="193"/>
      <c r="S92" s="48"/>
      <c r="T92" s="48"/>
      <c r="U92" s="48"/>
      <c r="V92" s="48"/>
      <c r="W92" s="48"/>
      <c r="X92" s="48"/>
      <c r="Y92" s="48"/>
      <c r="Z92" s="48"/>
      <c r="AA92" s="48"/>
      <c r="AB92" s="17"/>
      <c r="BU92" s="17"/>
      <c r="BV92" s="37"/>
      <c r="BW92" s="37"/>
      <c r="BX92" s="37"/>
      <c r="BY92" s="37"/>
      <c r="BZ92" s="37"/>
      <c r="CA92" s="17"/>
      <c r="CB92" s="17"/>
      <c r="CC92" s="10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07"/>
      <c r="CT92" s="107"/>
      <c r="CU92" s="107"/>
      <c r="CV92" s="17"/>
      <c r="CW92" s="17"/>
      <c r="CX92" s="17"/>
      <c r="CY92" s="17"/>
      <c r="CZ92" s="17"/>
      <c r="DA92" s="17"/>
    </row>
    <row r="93" spans="7:105" ht="15" customHeight="1" x14ac:dyDescent="0.2">
      <c r="G93" s="193"/>
      <c r="H93" s="193"/>
      <c r="I93" s="193"/>
      <c r="J93" s="193"/>
      <c r="K93" s="193"/>
      <c r="S93" s="48"/>
      <c r="T93" s="48"/>
      <c r="U93" s="48"/>
      <c r="V93" s="48"/>
      <c r="W93" s="48"/>
      <c r="X93" s="48"/>
      <c r="Y93" s="48"/>
      <c r="Z93" s="48"/>
      <c r="AA93" s="48"/>
      <c r="AB93" s="17"/>
      <c r="BU93" s="17"/>
      <c r="BV93" s="37"/>
      <c r="BW93" s="37"/>
      <c r="BX93" s="37"/>
      <c r="BY93" s="37"/>
      <c r="BZ93" s="37"/>
      <c r="CA93" s="17"/>
      <c r="CB93" s="17"/>
      <c r="CC93" s="10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07"/>
      <c r="CT93" s="107"/>
      <c r="CU93" s="107"/>
      <c r="CV93" s="17"/>
      <c r="CW93" s="17"/>
      <c r="CX93" s="17"/>
      <c r="CY93" s="17"/>
      <c r="CZ93" s="17"/>
      <c r="DA93" s="17"/>
    </row>
    <row r="94" spans="7:105" ht="15" customHeight="1" x14ac:dyDescent="0.2">
      <c r="G94" s="193"/>
      <c r="H94" s="193"/>
      <c r="I94" s="193"/>
      <c r="J94" s="193"/>
      <c r="K94" s="193"/>
      <c r="O94" s="1"/>
      <c r="S94" s="48"/>
      <c r="T94" s="48"/>
      <c r="U94" s="48"/>
      <c r="V94" s="48"/>
      <c r="W94" s="48"/>
      <c r="X94" s="48"/>
      <c r="Y94" s="48"/>
      <c r="Z94" s="48"/>
      <c r="AA94" s="48"/>
      <c r="AB94" s="17"/>
      <c r="BU94" s="17"/>
      <c r="BV94" s="17"/>
      <c r="BW94" s="128"/>
      <c r="BX94" s="127"/>
      <c r="BY94" s="129"/>
      <c r="BZ94" s="129"/>
      <c r="CA94" s="17"/>
      <c r="CB94" s="17"/>
      <c r="CC94" s="10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07"/>
      <c r="CT94" s="107"/>
      <c r="CU94" s="107"/>
      <c r="CV94" s="17"/>
      <c r="CW94" s="17"/>
      <c r="CX94" s="17"/>
      <c r="CY94" s="17"/>
      <c r="CZ94" s="17"/>
      <c r="DA94" s="17"/>
    </row>
    <row r="95" spans="7:105" ht="15" customHeight="1" x14ac:dyDescent="0.2">
      <c r="G95" s="193"/>
      <c r="H95" s="193"/>
      <c r="I95" s="193"/>
      <c r="J95" s="193"/>
      <c r="K95" s="193"/>
      <c r="O95" s="1"/>
      <c r="S95" s="48"/>
      <c r="T95" s="48"/>
      <c r="U95" s="48"/>
      <c r="V95" s="48"/>
      <c r="W95" s="48"/>
      <c r="X95" s="48"/>
      <c r="Y95" s="48"/>
      <c r="Z95" s="48"/>
      <c r="AA95" s="48"/>
      <c r="AB95" s="17"/>
      <c r="BU95" s="17"/>
      <c r="BV95" s="17"/>
      <c r="BW95" s="128"/>
      <c r="BX95" s="127"/>
      <c r="BY95" s="129"/>
      <c r="BZ95" s="129"/>
      <c r="CA95" s="17"/>
      <c r="CB95" s="17"/>
      <c r="CC95" s="10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07"/>
      <c r="CT95" s="107"/>
      <c r="CU95" s="107"/>
      <c r="CV95" s="17"/>
      <c r="CW95" s="17"/>
      <c r="CX95" s="17"/>
      <c r="CY95" s="17"/>
      <c r="CZ95" s="17"/>
      <c r="DA95" s="17"/>
    </row>
    <row r="96" spans="7:105" ht="15" customHeight="1" x14ac:dyDescent="0.2">
      <c r="G96" s="193"/>
      <c r="H96" s="193"/>
      <c r="I96" s="193"/>
      <c r="J96" s="193"/>
      <c r="K96" s="193"/>
      <c r="O96" s="1"/>
      <c r="P96" s="1"/>
      <c r="Q96" s="1"/>
      <c r="R96" s="1"/>
      <c r="S96" s="48"/>
      <c r="T96" s="48"/>
      <c r="U96" s="48"/>
      <c r="V96" s="48"/>
      <c r="W96" s="48"/>
      <c r="X96" s="48"/>
      <c r="Y96" s="48"/>
      <c r="Z96" s="48"/>
      <c r="AA96" s="48"/>
      <c r="AB96" s="17"/>
      <c r="BU96" s="17"/>
      <c r="BV96" s="17"/>
      <c r="BW96" s="128"/>
      <c r="BX96" s="127"/>
      <c r="BY96" s="129"/>
      <c r="BZ96" s="129"/>
      <c r="CA96" s="17"/>
      <c r="CB96" s="17"/>
      <c r="CC96" s="10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07"/>
      <c r="CT96" s="107"/>
      <c r="CU96" s="107"/>
      <c r="CV96" s="17"/>
      <c r="CW96" s="17"/>
      <c r="CX96" s="17"/>
      <c r="CY96" s="17"/>
      <c r="CZ96" s="17"/>
      <c r="DA96" s="17"/>
    </row>
    <row r="97" spans="7:105" ht="15" customHeight="1" x14ac:dyDescent="0.2">
      <c r="G97" s="193"/>
      <c r="H97" s="193"/>
      <c r="I97" s="193"/>
      <c r="J97" s="193"/>
      <c r="K97" s="193"/>
      <c r="O97" s="1"/>
      <c r="P97" s="1"/>
      <c r="Q97" s="1"/>
      <c r="R97" s="1"/>
      <c r="S97" s="48"/>
      <c r="T97" s="48"/>
      <c r="U97" s="48"/>
      <c r="V97" s="48"/>
      <c r="W97" s="48"/>
      <c r="X97" s="48"/>
      <c r="Y97" s="48"/>
      <c r="Z97" s="48"/>
      <c r="AA97" s="48"/>
      <c r="BU97" s="17"/>
      <c r="BV97" s="17"/>
      <c r="BW97" s="128"/>
      <c r="BX97" s="127"/>
      <c r="BY97" s="129"/>
      <c r="BZ97" s="129"/>
      <c r="CA97" s="17"/>
      <c r="CB97" s="17"/>
      <c r="CC97" s="10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07"/>
      <c r="CT97" s="107"/>
      <c r="CU97" s="107"/>
      <c r="CV97" s="17"/>
      <c r="CW97" s="17"/>
      <c r="CX97" s="17"/>
      <c r="CY97" s="17"/>
      <c r="CZ97" s="17"/>
      <c r="DA97" s="17"/>
    </row>
    <row r="98" spans="7:105" ht="15" customHeight="1" x14ac:dyDescent="0.2">
      <c r="G98" s="193"/>
      <c r="H98" s="193"/>
      <c r="I98" s="193"/>
      <c r="J98" s="193"/>
      <c r="K98" s="193"/>
      <c r="O98" s="1"/>
      <c r="P98" s="1"/>
      <c r="Q98" s="1"/>
      <c r="R98" s="1"/>
      <c r="S98" s="48"/>
      <c r="T98" s="48"/>
      <c r="U98" s="48"/>
      <c r="V98" s="48"/>
      <c r="BW98" s="128"/>
      <c r="BX98" s="127"/>
      <c r="BY98" s="129"/>
      <c r="BZ98" s="129"/>
      <c r="CB98" s="17"/>
      <c r="CC98" s="10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07"/>
      <c r="CT98" s="107"/>
      <c r="CU98" s="107"/>
      <c r="CV98" s="17"/>
      <c r="CW98" s="17"/>
      <c r="CX98" s="17"/>
      <c r="CY98" s="17"/>
      <c r="CZ98" s="17"/>
      <c r="DA98" s="17"/>
    </row>
    <row r="99" spans="7:105" ht="15" customHeight="1" x14ac:dyDescent="0.2">
      <c r="G99" s="193"/>
      <c r="H99" s="193"/>
      <c r="I99" s="193"/>
      <c r="J99" s="193"/>
      <c r="K99" s="193"/>
      <c r="O99" s="1"/>
      <c r="P99" s="1"/>
      <c r="Q99" s="1"/>
      <c r="R99" s="1"/>
      <c r="S99" s="48"/>
      <c r="T99" s="48"/>
      <c r="U99" s="48"/>
      <c r="V99" s="48"/>
      <c r="BW99" s="128"/>
      <c r="BX99" s="127"/>
      <c r="BY99" s="129"/>
      <c r="BZ99" s="129"/>
    </row>
    <row r="100" spans="7:105" ht="15" customHeight="1" x14ac:dyDescent="0.2">
      <c r="G100" s="193"/>
      <c r="H100" s="193"/>
      <c r="I100" s="193"/>
      <c r="J100" s="193"/>
      <c r="K100" s="193"/>
      <c r="O100" s="1"/>
      <c r="P100" s="1"/>
      <c r="Q100" s="1"/>
      <c r="R100" s="1"/>
      <c r="S100" s="48"/>
      <c r="T100" s="48"/>
      <c r="U100" s="48"/>
      <c r="V100" s="48"/>
      <c r="BW100" s="128"/>
      <c r="BX100" s="127"/>
      <c r="BY100" s="129"/>
      <c r="BZ100" s="129"/>
    </row>
    <row r="101" spans="7:105" ht="15" customHeight="1" x14ac:dyDescent="0.2">
      <c r="G101" s="193"/>
      <c r="H101" s="193"/>
      <c r="I101" s="193"/>
      <c r="J101" s="193"/>
      <c r="K101" s="193"/>
      <c r="O101" s="1"/>
      <c r="P101" s="1"/>
      <c r="Q101" s="1"/>
      <c r="R101" s="1"/>
      <c r="S101" s="48"/>
      <c r="T101" s="48"/>
      <c r="U101" s="48"/>
      <c r="V101" s="48"/>
      <c r="BW101" s="128"/>
      <c r="BX101" s="127"/>
      <c r="BY101" s="129"/>
      <c r="BZ101" s="129"/>
    </row>
    <row r="102" spans="7:105" ht="15" customHeight="1" x14ac:dyDescent="0.2">
      <c r="G102" s="193"/>
      <c r="H102" s="193"/>
      <c r="I102" s="193"/>
      <c r="J102" s="193"/>
      <c r="K102" s="193"/>
      <c r="O102" s="1"/>
      <c r="P102" s="1"/>
      <c r="Q102" s="1"/>
      <c r="R102" s="1"/>
      <c r="S102" s="48"/>
      <c r="T102" s="48"/>
      <c r="U102" s="48"/>
      <c r="V102" s="48"/>
      <c r="BW102" s="128"/>
      <c r="BX102" s="127"/>
      <c r="BY102" s="129"/>
      <c r="BZ102" s="129"/>
    </row>
    <row r="103" spans="7:105" ht="15" customHeight="1" x14ac:dyDescent="0.2">
      <c r="G103" s="193"/>
      <c r="H103" s="193"/>
      <c r="I103" s="193"/>
      <c r="J103" s="193"/>
      <c r="K103" s="193"/>
      <c r="O103" s="1"/>
      <c r="P103" s="1"/>
      <c r="Q103" s="1"/>
      <c r="R103" s="1"/>
      <c r="S103" s="48"/>
      <c r="T103" s="48"/>
      <c r="U103" s="48"/>
      <c r="V103" s="48"/>
      <c r="BW103" s="128"/>
      <c r="BX103" s="127"/>
      <c r="BY103" s="129"/>
      <c r="BZ103" s="129"/>
    </row>
    <row r="104" spans="7:105" ht="15" customHeight="1" x14ac:dyDescent="0.2">
      <c r="G104" s="193"/>
      <c r="H104" s="193"/>
      <c r="I104" s="193"/>
      <c r="J104" s="193"/>
      <c r="K104" s="193"/>
      <c r="O104" s="1"/>
      <c r="P104" s="1"/>
      <c r="Q104" s="1"/>
      <c r="R104" s="1"/>
      <c r="BW104" s="128"/>
      <c r="BX104" s="127"/>
      <c r="BY104" s="129"/>
      <c r="BZ104" s="129"/>
    </row>
    <row r="105" spans="7:105" ht="15" customHeight="1" x14ac:dyDescent="0.2">
      <c r="G105" s="193"/>
      <c r="H105" s="193"/>
      <c r="I105" s="193"/>
      <c r="J105" s="193"/>
      <c r="K105" s="193"/>
      <c r="O105" s="1"/>
      <c r="P105" s="1"/>
      <c r="Q105" s="1"/>
      <c r="R105" s="1"/>
      <c r="BW105" s="128"/>
      <c r="BX105" s="127"/>
      <c r="BY105" s="129"/>
      <c r="BZ105" s="129"/>
    </row>
    <row r="106" spans="7:105" ht="15" customHeight="1" x14ac:dyDescent="0.2">
      <c r="G106" s="193"/>
      <c r="H106" s="193"/>
      <c r="I106" s="193"/>
      <c r="J106" s="193"/>
      <c r="K106" s="193"/>
      <c r="O106" s="1"/>
      <c r="P106" s="1"/>
      <c r="Q106" s="1"/>
      <c r="R106" s="1"/>
      <c r="BW106" s="128"/>
      <c r="BX106" s="127"/>
      <c r="BY106" s="129"/>
      <c r="BZ106" s="129"/>
    </row>
    <row r="107" spans="7:105" ht="15" customHeight="1" x14ac:dyDescent="0.2">
      <c r="G107" s="193"/>
      <c r="H107" s="193"/>
      <c r="I107" s="193"/>
      <c r="J107" s="193"/>
      <c r="K107" s="193"/>
      <c r="O107" s="1"/>
      <c r="P107" s="1"/>
      <c r="Q107" s="1"/>
      <c r="R107" s="1"/>
      <c r="BW107" s="128"/>
      <c r="BX107" s="127"/>
      <c r="BY107" s="129"/>
      <c r="BZ107" s="129"/>
    </row>
    <row r="108" spans="7:105" ht="15" customHeight="1" x14ac:dyDescent="0.2">
      <c r="G108" s="193"/>
      <c r="H108" s="193"/>
      <c r="I108" s="193"/>
      <c r="J108" s="193"/>
      <c r="K108" s="193"/>
      <c r="O108" s="104"/>
      <c r="P108" s="1"/>
      <c r="Q108" s="1"/>
      <c r="R108" s="1"/>
      <c r="BW108" s="128"/>
      <c r="BX108" s="127"/>
      <c r="BY108" s="129"/>
      <c r="BZ108" s="129"/>
    </row>
    <row r="109" spans="7:105" ht="12.75" customHeight="1" x14ac:dyDescent="0.2">
      <c r="G109" s="193"/>
      <c r="H109" s="193"/>
      <c r="I109" s="193"/>
      <c r="J109" s="193"/>
      <c r="K109" s="193"/>
      <c r="O109" s="104"/>
      <c r="P109" s="1"/>
      <c r="Q109" s="1"/>
      <c r="R109" s="1"/>
      <c r="BW109" s="128"/>
      <c r="BX109" s="127"/>
      <c r="BY109" s="129"/>
      <c r="BZ109" s="129"/>
    </row>
    <row r="110" spans="7:105" ht="12.75" customHeight="1" x14ac:dyDescent="0.2">
      <c r="G110" s="193"/>
      <c r="H110" s="193"/>
      <c r="I110" s="193"/>
      <c r="J110" s="193"/>
      <c r="K110" s="193"/>
      <c r="O110" s="104"/>
      <c r="P110" s="1"/>
      <c r="Q110" s="1"/>
      <c r="R110" s="1"/>
      <c r="BW110" s="128"/>
      <c r="BX110" s="127"/>
      <c r="BY110" s="129"/>
      <c r="BZ110" s="129"/>
    </row>
    <row r="111" spans="7:105" ht="12.75" customHeight="1" x14ac:dyDescent="0.2">
      <c r="G111" s="193"/>
      <c r="H111" s="193"/>
      <c r="I111" s="193"/>
      <c r="J111" s="193"/>
      <c r="K111" s="193"/>
      <c r="O111" s="1"/>
      <c r="P111" s="1"/>
      <c r="Q111" s="1"/>
      <c r="R111" s="1"/>
      <c r="BW111" s="128"/>
      <c r="BX111" s="127"/>
      <c r="BY111" s="129"/>
      <c r="BZ111" s="129"/>
    </row>
    <row r="112" spans="7:105" ht="12.75" customHeight="1" x14ac:dyDescent="0.2">
      <c r="G112" s="193"/>
      <c r="H112" s="193"/>
      <c r="I112" s="193"/>
      <c r="J112" s="193"/>
      <c r="K112" s="193"/>
      <c r="O112" s="1"/>
      <c r="P112" s="1"/>
      <c r="Q112" s="1"/>
      <c r="R112" s="1"/>
    </row>
    <row r="113" spans="7:83" ht="12.75" customHeight="1" x14ac:dyDescent="0.2">
      <c r="G113" s="193"/>
      <c r="H113" s="193"/>
      <c r="I113" s="193"/>
      <c r="J113" s="193"/>
      <c r="K113" s="193"/>
      <c r="O113" s="1"/>
      <c r="P113" s="1"/>
      <c r="Q113" s="1"/>
      <c r="R113" s="1"/>
    </row>
    <row r="114" spans="7:83" ht="12.75" customHeight="1" x14ac:dyDescent="0.2">
      <c r="G114" s="193"/>
      <c r="H114" s="193"/>
      <c r="I114" s="193"/>
      <c r="J114" s="193"/>
      <c r="K114" s="193"/>
      <c r="O114" s="1"/>
      <c r="P114" s="1"/>
      <c r="Q114" s="1"/>
      <c r="R114" s="1"/>
    </row>
    <row r="115" spans="7:83" ht="12.75" customHeight="1" x14ac:dyDescent="0.2">
      <c r="G115" s="193"/>
      <c r="H115" s="193"/>
      <c r="I115" s="193"/>
      <c r="J115" s="193"/>
      <c r="K115" s="193"/>
      <c r="O115" s="1"/>
      <c r="P115" s="1"/>
      <c r="Q115" s="1"/>
      <c r="R115" s="1"/>
    </row>
    <row r="116" spans="7:83" ht="12.75" customHeight="1" x14ac:dyDescent="0.2">
      <c r="G116" s="193"/>
      <c r="H116" s="193"/>
      <c r="I116" s="193"/>
      <c r="J116" s="193"/>
      <c r="K116" s="193"/>
      <c r="O116" s="1"/>
      <c r="P116" s="1"/>
      <c r="Q116" s="1"/>
      <c r="R116" s="1"/>
    </row>
    <row r="117" spans="7:83" ht="12.75" customHeight="1" x14ac:dyDescent="0.2">
      <c r="G117" s="193"/>
      <c r="H117" s="193"/>
      <c r="I117" s="193"/>
      <c r="J117" s="193"/>
      <c r="K117" s="193"/>
      <c r="O117" s="1"/>
      <c r="P117" s="1"/>
      <c r="Q117" s="1"/>
      <c r="R117" s="1"/>
      <c r="BU117" s="61"/>
      <c r="BV117" s="61"/>
      <c r="BW117" s="61"/>
      <c r="BX117" s="61"/>
      <c r="BY117" s="61"/>
      <c r="BZ117" s="61"/>
      <c r="CA117" s="61"/>
    </row>
    <row r="118" spans="7:83" ht="12.75" customHeight="1" x14ac:dyDescent="0.2">
      <c r="G118" s="193"/>
      <c r="H118" s="193"/>
      <c r="I118" s="193"/>
      <c r="J118" s="193"/>
      <c r="K118" s="193"/>
      <c r="O118" s="1"/>
      <c r="P118" s="1"/>
      <c r="Q118" s="1"/>
      <c r="R118" s="1"/>
      <c r="BU118" s="73"/>
      <c r="BV118" s="51"/>
      <c r="BW118" s="132"/>
      <c r="BX118" s="132"/>
      <c r="BY118" s="132"/>
      <c r="BZ118" s="132"/>
      <c r="CA118" s="132"/>
      <c r="CB118" s="61"/>
      <c r="CC118" s="61"/>
      <c r="CD118" s="61"/>
      <c r="CE118" s="61"/>
    </row>
    <row r="119" spans="7:83" ht="12.75" customHeight="1" x14ac:dyDescent="0.2">
      <c r="G119" s="193"/>
      <c r="H119" s="1"/>
      <c r="I119" s="1"/>
      <c r="J119" s="1"/>
      <c r="K119" s="27"/>
      <c r="O119" s="1"/>
      <c r="P119" s="1"/>
      <c r="Q119" s="1"/>
      <c r="R119" s="1"/>
      <c r="BV119" s="12"/>
      <c r="CB119" s="132"/>
    </row>
    <row r="120" spans="7:83" ht="12.75" customHeight="1" x14ac:dyDescent="0.2">
      <c r="G120" s="193"/>
      <c r="H120" s="1"/>
      <c r="I120" s="1"/>
      <c r="J120" s="1"/>
      <c r="K120" s="1"/>
      <c r="O120" s="1"/>
      <c r="P120" s="1"/>
      <c r="Q120" s="1"/>
      <c r="R120" s="1"/>
      <c r="BV120" s="12"/>
    </row>
    <row r="121" spans="7:83" ht="12.75" customHeight="1" x14ac:dyDescent="0.2">
      <c r="G121" s="193"/>
      <c r="H121" s="1"/>
      <c r="I121" s="1"/>
      <c r="J121" s="1"/>
      <c r="K121" s="1"/>
      <c r="O121" s="1"/>
      <c r="P121" s="1"/>
      <c r="Q121" s="1"/>
      <c r="R121" s="1"/>
      <c r="BV121" s="12"/>
      <c r="CE121" s="18"/>
    </row>
    <row r="122" spans="7:83" ht="12.75" customHeight="1" x14ac:dyDescent="0.2">
      <c r="G122" s="193"/>
      <c r="H122" s="1"/>
      <c r="I122" s="1"/>
      <c r="J122" s="1"/>
      <c r="K122" s="1"/>
      <c r="O122" s="1"/>
      <c r="P122" s="1"/>
      <c r="Q122" s="1"/>
      <c r="R122" s="1"/>
      <c r="BV122" s="12"/>
    </row>
    <row r="123" spans="7:83" ht="12.75" customHeight="1" x14ac:dyDescent="0.2">
      <c r="G123" s="193"/>
      <c r="H123" s="1"/>
      <c r="I123" s="1"/>
      <c r="J123" s="1"/>
      <c r="K123" s="1"/>
      <c r="O123" s="1"/>
      <c r="P123" s="1"/>
      <c r="Q123" s="1"/>
      <c r="R123" s="1"/>
      <c r="BV123" s="12"/>
    </row>
    <row r="124" spans="7:83" ht="12.75" customHeight="1" x14ac:dyDescent="0.2">
      <c r="G124" s="193"/>
      <c r="H124" s="1"/>
      <c r="I124" s="1"/>
      <c r="J124" s="1"/>
      <c r="K124" s="1"/>
      <c r="O124" s="1"/>
      <c r="P124" s="1"/>
      <c r="Q124" s="1"/>
      <c r="R124" s="1"/>
      <c r="BV124" s="12"/>
    </row>
    <row r="125" spans="7:83" ht="12.75" customHeight="1" x14ac:dyDescent="0.2">
      <c r="G125" s="193"/>
      <c r="H125" s="1"/>
      <c r="I125" s="1"/>
      <c r="J125" s="1"/>
      <c r="K125" s="1"/>
      <c r="O125" s="1"/>
      <c r="P125" s="1"/>
      <c r="Q125" s="1"/>
      <c r="R125" s="1"/>
    </row>
    <row r="126" spans="7:83" ht="12.75" customHeight="1" x14ac:dyDescent="0.2">
      <c r="G126" s="1"/>
      <c r="H126" s="1"/>
      <c r="I126" s="1"/>
      <c r="J126" s="1"/>
      <c r="K126" s="1"/>
      <c r="O126" s="1"/>
      <c r="P126" s="1"/>
      <c r="Q126" s="1"/>
      <c r="R126" s="1"/>
    </row>
    <row r="127" spans="7:83" ht="12.75" customHeight="1" x14ac:dyDescent="0.2">
      <c r="G127" s="1"/>
      <c r="H127" s="1"/>
      <c r="I127" s="1"/>
      <c r="J127" s="1"/>
      <c r="K127" s="1"/>
      <c r="O127" s="1"/>
      <c r="P127" s="1"/>
      <c r="Q127" s="1"/>
      <c r="R127" s="1"/>
    </row>
    <row r="128" spans="7:83" ht="12.75" customHeight="1" x14ac:dyDescent="0.2">
      <c r="G128" s="1"/>
      <c r="H128" s="1"/>
      <c r="I128" s="1"/>
      <c r="J128" s="1"/>
      <c r="K128" s="1"/>
      <c r="O128" s="1"/>
      <c r="P128" s="1"/>
      <c r="Q128" s="1"/>
      <c r="R128" s="1"/>
    </row>
    <row r="129" spans="7:18" ht="12.75" customHeight="1" x14ac:dyDescent="0.2">
      <c r="G129" s="1"/>
      <c r="H129" s="1"/>
      <c r="I129" s="1"/>
      <c r="J129" s="1"/>
      <c r="K129" s="1"/>
      <c r="O129" s="1"/>
      <c r="P129" s="1"/>
      <c r="Q129" s="1"/>
      <c r="R129" s="1"/>
    </row>
    <row r="130" spans="7:18" ht="12.75" customHeight="1" x14ac:dyDescent="0.2">
      <c r="H130" s="1"/>
      <c r="I130" s="1"/>
      <c r="J130" s="1"/>
      <c r="K130" s="1"/>
      <c r="O130" s="1"/>
      <c r="P130" s="1"/>
      <c r="Q130" s="1"/>
      <c r="R130" s="1"/>
    </row>
    <row r="131" spans="7:18" ht="12.75" customHeight="1" x14ac:dyDescent="0.2">
      <c r="H131" s="1"/>
      <c r="I131" s="1"/>
      <c r="J131" s="1"/>
      <c r="K131" s="1"/>
      <c r="O131" s="1"/>
      <c r="P131" s="1"/>
      <c r="Q131" s="1"/>
      <c r="R131" s="1"/>
    </row>
    <row r="132" spans="7:18" ht="12.75" customHeight="1" x14ac:dyDescent="0.2">
      <c r="H132" s="1"/>
      <c r="I132" s="1"/>
      <c r="J132" s="1"/>
      <c r="K132" s="1"/>
      <c r="O132" s="1"/>
      <c r="P132" s="1"/>
      <c r="Q132" s="1"/>
      <c r="R132" s="1"/>
    </row>
    <row r="133" spans="7:18" ht="12.75" customHeight="1" x14ac:dyDescent="0.2">
      <c r="H133" s="1"/>
      <c r="I133" s="1"/>
      <c r="J133" s="1"/>
      <c r="K133" s="1"/>
      <c r="O133" s="1"/>
      <c r="P133" s="1"/>
      <c r="Q133" s="1"/>
      <c r="R133" s="1"/>
    </row>
    <row r="134" spans="7:18" ht="12.75" customHeight="1" x14ac:dyDescent="0.2">
      <c r="H134" s="1"/>
      <c r="I134" s="1"/>
      <c r="J134" s="1"/>
      <c r="K134" s="1"/>
      <c r="O134" s="1"/>
      <c r="P134" s="1"/>
      <c r="Q134" s="1"/>
      <c r="R134" s="1"/>
    </row>
    <row r="135" spans="7:18" ht="12.75" customHeight="1" x14ac:dyDescent="0.2">
      <c r="H135" s="1"/>
      <c r="I135" s="1"/>
      <c r="J135" s="1"/>
      <c r="K135" s="1"/>
      <c r="O135" s="1"/>
      <c r="P135" s="1"/>
      <c r="Q135" s="1"/>
      <c r="R135" s="1"/>
    </row>
    <row r="136" spans="7:18" ht="12.75" customHeight="1" x14ac:dyDescent="0.2">
      <c r="H136" s="1"/>
      <c r="I136" s="1"/>
      <c r="J136" s="1"/>
      <c r="K136" s="1"/>
      <c r="O136" s="1"/>
      <c r="P136" s="1"/>
      <c r="Q136" s="1"/>
      <c r="R136" s="1"/>
    </row>
    <row r="137" spans="7:18" ht="12.75" customHeight="1" x14ac:dyDescent="0.2">
      <c r="H137" s="1"/>
      <c r="I137" s="1"/>
      <c r="J137" s="1"/>
      <c r="K137" s="1"/>
      <c r="O137" s="1"/>
      <c r="P137" s="1"/>
      <c r="Q137" s="1"/>
      <c r="R137" s="1"/>
    </row>
    <row r="138" spans="7:18" ht="12.75" customHeight="1" x14ac:dyDescent="0.2">
      <c r="H138" s="1"/>
      <c r="I138" s="1"/>
      <c r="J138" s="1"/>
      <c r="K138" s="1"/>
      <c r="O138" s="1"/>
      <c r="P138" s="1"/>
      <c r="Q138" s="1"/>
      <c r="R138" s="1"/>
    </row>
    <row r="139" spans="7:18" ht="12.75" customHeight="1" x14ac:dyDescent="0.2">
      <c r="H139" s="1"/>
      <c r="I139" s="1"/>
      <c r="J139" s="1"/>
      <c r="K139" s="1"/>
      <c r="O139" s="1"/>
      <c r="P139" s="1"/>
      <c r="Q139" s="1"/>
      <c r="R139" s="1"/>
    </row>
    <row r="140" spans="7:18" ht="12.75" customHeight="1" x14ac:dyDescent="0.2">
      <c r="H140" s="1"/>
      <c r="I140" s="1"/>
      <c r="J140" s="1"/>
      <c r="K140" s="1"/>
      <c r="O140" s="1"/>
      <c r="P140" s="1"/>
      <c r="Q140" s="1"/>
      <c r="R140" s="1"/>
    </row>
    <row r="141" spans="7:18" ht="12.75" customHeight="1" x14ac:dyDescent="0.2">
      <c r="H141" s="1"/>
      <c r="I141" s="1"/>
      <c r="J141" s="1"/>
      <c r="K141" s="1"/>
      <c r="O141" s="1"/>
      <c r="P141" s="1"/>
      <c r="Q141" s="1"/>
      <c r="R141" s="1"/>
    </row>
    <row r="142" spans="7:18" ht="12.75" customHeight="1" x14ac:dyDescent="0.2">
      <c r="H142" s="1"/>
      <c r="I142" s="1"/>
      <c r="J142" s="1"/>
      <c r="K142" s="1"/>
      <c r="O142" s="1"/>
      <c r="P142" s="1"/>
      <c r="Q142" s="1"/>
      <c r="R142" s="1"/>
    </row>
    <row r="143" spans="7:18" ht="12.75" customHeight="1" x14ac:dyDescent="0.2">
      <c r="H143" s="1"/>
      <c r="I143" s="1"/>
      <c r="J143" s="1"/>
      <c r="K143" s="1"/>
      <c r="O143" s="1"/>
      <c r="P143" s="1"/>
      <c r="Q143" s="1"/>
      <c r="R143" s="1"/>
    </row>
    <row r="144" spans="7:18" ht="12.75" customHeight="1" x14ac:dyDescent="0.2">
      <c r="H144" s="1"/>
      <c r="I144" s="1"/>
      <c r="J144" s="1"/>
      <c r="K144" s="1"/>
      <c r="O144" s="1"/>
      <c r="P144" s="1"/>
      <c r="Q144" s="1"/>
      <c r="R144" s="1"/>
    </row>
    <row r="145" spans="8:18" ht="12.75" customHeight="1" x14ac:dyDescent="0.2">
      <c r="H145" s="1"/>
      <c r="I145" s="1"/>
      <c r="J145" s="1"/>
      <c r="K145" s="1"/>
      <c r="O145" s="1"/>
      <c r="P145" s="1"/>
      <c r="Q145" s="1"/>
      <c r="R145" s="1"/>
    </row>
    <row r="146" spans="8:18" ht="12.75" customHeight="1" x14ac:dyDescent="0.2">
      <c r="H146" s="1"/>
      <c r="I146" s="1"/>
      <c r="J146" s="1"/>
      <c r="K146" s="1"/>
      <c r="O146" s="1"/>
      <c r="P146" s="1"/>
      <c r="Q146" s="1"/>
      <c r="R146" s="1"/>
    </row>
    <row r="147" spans="8:18" ht="12.75" customHeight="1" x14ac:dyDescent="0.2">
      <c r="I147" s="1"/>
      <c r="J147" s="1"/>
      <c r="K147" s="1"/>
      <c r="O147" s="1"/>
      <c r="P147" s="1"/>
      <c r="Q147" s="1"/>
      <c r="R147" s="1"/>
    </row>
    <row r="148" spans="8:18" ht="12.75" customHeight="1" x14ac:dyDescent="0.2">
      <c r="O148" s="1"/>
      <c r="P148" s="1"/>
      <c r="Q148" s="1"/>
      <c r="R148" s="1"/>
    </row>
    <row r="149" spans="8:18" ht="12.75" customHeight="1" x14ac:dyDescent="0.2">
      <c r="O149" s="1"/>
      <c r="P149" s="1"/>
      <c r="Q149" s="1"/>
      <c r="R149" s="1"/>
    </row>
    <row r="150" spans="8:18" ht="12.75" customHeight="1" x14ac:dyDescent="0.2">
      <c r="O150" s="1"/>
      <c r="P150" s="1"/>
      <c r="Q150" s="1"/>
      <c r="R150" s="1"/>
    </row>
    <row r="151" spans="8:18" ht="12.75" customHeight="1" x14ac:dyDescent="0.2">
      <c r="O151" s="1"/>
      <c r="P151" s="1"/>
      <c r="Q151" s="1"/>
      <c r="R151" s="1"/>
    </row>
    <row r="152" spans="8:18" ht="12.75" customHeight="1" x14ac:dyDescent="0.2">
      <c r="O152" s="1"/>
      <c r="P152" s="1"/>
      <c r="Q152" s="1"/>
      <c r="R152" s="1"/>
    </row>
    <row r="153" spans="8:18" ht="12.75" customHeight="1" x14ac:dyDescent="0.2">
      <c r="O153" s="1"/>
      <c r="P153" s="1"/>
      <c r="Q153" s="1"/>
      <c r="R153" s="1"/>
    </row>
    <row r="154" spans="8:18" ht="12.75" customHeight="1" x14ac:dyDescent="0.2">
      <c r="O154" s="1"/>
      <c r="P154" s="1"/>
      <c r="Q154" s="1"/>
      <c r="R154" s="1"/>
    </row>
    <row r="155" spans="8:18" ht="12.75" customHeight="1" x14ac:dyDescent="0.2">
      <c r="O155" s="1"/>
      <c r="P155" s="1"/>
      <c r="Q155" s="1"/>
      <c r="R155" s="1"/>
    </row>
    <row r="156" spans="8:18" ht="12.75" customHeight="1" x14ac:dyDescent="0.2">
      <c r="O156" s="1"/>
      <c r="P156" s="1"/>
      <c r="Q156" s="1"/>
      <c r="R156" s="1"/>
    </row>
    <row r="157" spans="8:18" ht="12.75" customHeight="1" x14ac:dyDescent="0.2">
      <c r="O157" s="1"/>
      <c r="P157" s="1"/>
      <c r="Q157" s="1"/>
      <c r="R157" s="1"/>
    </row>
    <row r="158" spans="8:18" ht="12.75" customHeight="1" x14ac:dyDescent="0.2">
      <c r="O158" s="1"/>
      <c r="P158" s="1"/>
      <c r="Q158" s="1"/>
      <c r="R158" s="1"/>
    </row>
    <row r="159" spans="8:18" ht="12.75" customHeight="1" x14ac:dyDescent="0.2">
      <c r="O159" s="1"/>
      <c r="P159" s="1"/>
      <c r="Q159" s="1"/>
      <c r="R159" s="1"/>
    </row>
    <row r="160" spans="8:18" ht="12.75" customHeight="1" x14ac:dyDescent="0.2">
      <c r="O160" s="1"/>
      <c r="P160" s="1"/>
      <c r="Q160" s="1"/>
      <c r="R160" s="1"/>
    </row>
    <row r="161" spans="7:18" ht="12.75" customHeight="1" x14ac:dyDescent="0.2">
      <c r="O161" s="1"/>
      <c r="P161" s="1"/>
      <c r="Q161" s="1"/>
      <c r="R161" s="1"/>
    </row>
    <row r="162" spans="7:18" ht="12.75" customHeight="1" x14ac:dyDescent="0.2">
      <c r="O162" s="1"/>
      <c r="P162" s="1"/>
      <c r="Q162" s="1"/>
      <c r="R162" s="1"/>
    </row>
    <row r="163" spans="7:18" ht="12.75" customHeight="1" x14ac:dyDescent="0.2">
      <c r="O163" s="1"/>
      <c r="P163" s="1"/>
      <c r="Q163" s="1"/>
      <c r="R163" s="1"/>
    </row>
    <row r="164" spans="7:18" ht="12.75" customHeight="1" x14ac:dyDescent="0.2">
      <c r="O164" s="1"/>
      <c r="P164" s="1"/>
      <c r="Q164" s="1"/>
      <c r="R164" s="1"/>
    </row>
    <row r="165" spans="7:18" ht="12.75" customHeight="1" x14ac:dyDescent="0.2">
      <c r="O165" s="1"/>
      <c r="P165" s="1"/>
      <c r="Q165" s="1"/>
      <c r="R165" s="1"/>
    </row>
    <row r="166" spans="7:18" ht="12.75" customHeight="1" x14ac:dyDescent="0.2">
      <c r="O166" s="1"/>
      <c r="P166" s="1"/>
      <c r="Q166" s="1"/>
      <c r="R166" s="1"/>
    </row>
    <row r="167" spans="7:18" ht="12.75" customHeight="1" x14ac:dyDescent="0.2">
      <c r="O167" s="1"/>
      <c r="P167" s="1"/>
      <c r="Q167" s="1"/>
      <c r="R167" s="1"/>
    </row>
    <row r="168" spans="7:18" ht="12.75" customHeight="1" x14ac:dyDescent="0.2">
      <c r="O168" s="1"/>
      <c r="P168" s="1"/>
      <c r="Q168" s="1"/>
      <c r="R168" s="1"/>
    </row>
    <row r="169" spans="7:18" ht="12.75" customHeight="1" x14ac:dyDescent="0.2">
      <c r="O169" s="1"/>
      <c r="P169" s="1"/>
      <c r="Q169" s="1"/>
      <c r="R169" s="1"/>
    </row>
    <row r="170" spans="7:18" ht="12.75" customHeight="1" x14ac:dyDescent="0.2">
      <c r="O170" s="1"/>
      <c r="P170" s="1"/>
      <c r="Q170" s="1"/>
      <c r="R170" s="1"/>
    </row>
    <row r="171" spans="7:18" ht="12.75" customHeight="1" x14ac:dyDescent="0.2">
      <c r="O171" s="1"/>
      <c r="P171" s="1"/>
      <c r="Q171" s="1"/>
      <c r="R171" s="1"/>
    </row>
    <row r="172" spans="7:18" ht="12.75" customHeight="1" x14ac:dyDescent="0.2">
      <c r="O172" s="1"/>
      <c r="P172" s="1"/>
      <c r="Q172" s="1"/>
      <c r="R172" s="1"/>
    </row>
    <row r="173" spans="7:18" ht="12.75" customHeight="1" x14ac:dyDescent="0.2">
      <c r="G173" s="105"/>
      <c r="O173" s="1"/>
      <c r="P173" s="1"/>
      <c r="Q173" s="1"/>
      <c r="R173" s="1"/>
    </row>
    <row r="174" spans="7:18" ht="12.75" customHeight="1" x14ac:dyDescent="0.2">
      <c r="G174" s="105"/>
      <c r="O174" s="1"/>
      <c r="P174" s="1"/>
      <c r="Q174" s="1"/>
      <c r="R174" s="1"/>
    </row>
    <row r="175" spans="7:18" ht="12.75" customHeight="1" x14ac:dyDescent="0.2">
      <c r="G175" s="105"/>
      <c r="O175" s="1"/>
      <c r="P175" s="1"/>
      <c r="Q175" s="1"/>
      <c r="R175" s="1"/>
    </row>
    <row r="176" spans="7:18" ht="12.75" customHeight="1" x14ac:dyDescent="0.2">
      <c r="G176" s="105"/>
      <c r="O176" s="1"/>
      <c r="P176" s="1"/>
      <c r="Q176" s="1"/>
      <c r="R176" s="1"/>
    </row>
    <row r="177" spans="7:18" ht="12.75" customHeight="1" x14ac:dyDescent="0.2">
      <c r="G177" s="107"/>
      <c r="O177" s="1"/>
      <c r="P177" s="1"/>
      <c r="Q177" s="1"/>
      <c r="R177" s="1"/>
    </row>
    <row r="178" spans="7:18" ht="12.75" customHeight="1" x14ac:dyDescent="0.2">
      <c r="G178" s="107"/>
      <c r="O178" s="1"/>
      <c r="P178" s="1"/>
      <c r="Q178" s="1"/>
      <c r="R178" s="1"/>
    </row>
    <row r="179" spans="7:18" ht="12.75" customHeight="1" x14ac:dyDescent="0.2">
      <c r="G179" s="109"/>
      <c r="O179" s="1"/>
      <c r="P179" s="1"/>
      <c r="Q179" s="1"/>
      <c r="R179" s="1"/>
    </row>
    <row r="180" spans="7:18" ht="12.75" customHeight="1" x14ac:dyDescent="0.2">
      <c r="G180" s="112"/>
      <c r="O180" s="1"/>
      <c r="P180" s="1"/>
      <c r="Q180" s="1"/>
      <c r="R180" s="1"/>
    </row>
    <row r="181" spans="7:18" ht="12.75" customHeight="1" x14ac:dyDescent="0.2">
      <c r="G181" s="112"/>
      <c r="O181" s="1"/>
      <c r="P181" s="1"/>
      <c r="Q181" s="1"/>
      <c r="R181" s="1"/>
    </row>
    <row r="182" spans="7:18" ht="12.75" customHeight="1" x14ac:dyDescent="0.2">
      <c r="G182" s="112"/>
      <c r="O182" s="1"/>
      <c r="P182" s="1"/>
      <c r="Q182" s="1"/>
      <c r="R182" s="1"/>
    </row>
    <row r="183" spans="7:18" ht="12.75" customHeight="1" x14ac:dyDescent="0.2">
      <c r="G183" s="112"/>
      <c r="O183" s="1"/>
      <c r="P183" s="1"/>
      <c r="Q183" s="1"/>
      <c r="R183" s="1"/>
    </row>
    <row r="184" spans="7:18" ht="12.75" customHeight="1" x14ac:dyDescent="0.2">
      <c r="G184" s="112"/>
      <c r="O184" s="1"/>
      <c r="P184" s="1"/>
      <c r="Q184" s="1"/>
      <c r="R184" s="1"/>
    </row>
    <row r="185" spans="7:18" ht="12.75" customHeight="1" x14ac:dyDescent="0.2">
      <c r="G185" s="112"/>
      <c r="O185" s="1"/>
      <c r="P185" s="1"/>
      <c r="Q185" s="1"/>
      <c r="R185" s="1"/>
    </row>
    <row r="186" spans="7:18" ht="12.75" customHeight="1" x14ac:dyDescent="0.2">
      <c r="G186" s="112"/>
      <c r="O186" s="1"/>
      <c r="P186" s="1"/>
      <c r="Q186" s="1"/>
      <c r="R186" s="1"/>
    </row>
    <row r="187" spans="7:18" ht="12.75" customHeight="1" x14ac:dyDescent="0.2">
      <c r="G187" s="112"/>
      <c r="O187" s="1"/>
      <c r="P187" s="1"/>
      <c r="Q187" s="1"/>
      <c r="R187" s="1"/>
    </row>
    <row r="188" spans="7:18" ht="12.75" customHeight="1" x14ac:dyDescent="0.2">
      <c r="G188" s="112"/>
      <c r="O188" s="1"/>
      <c r="P188" s="1"/>
      <c r="Q188" s="1"/>
      <c r="R188" s="1"/>
    </row>
    <row r="189" spans="7:18" ht="12.75" customHeight="1" x14ac:dyDescent="0.2">
      <c r="G189" s="112"/>
      <c r="O189" s="1"/>
      <c r="P189" s="1"/>
      <c r="Q189" s="1"/>
      <c r="R189" s="1"/>
    </row>
    <row r="190" spans="7:18" ht="12.75" customHeight="1" x14ac:dyDescent="0.2">
      <c r="G190" s="112"/>
      <c r="O190" s="1"/>
      <c r="P190" s="1"/>
      <c r="Q190" s="1"/>
      <c r="R190" s="1"/>
    </row>
    <row r="191" spans="7:18" ht="12.75" customHeight="1" x14ac:dyDescent="0.2">
      <c r="G191" s="112"/>
      <c r="K191" s="106"/>
      <c r="O191" s="1"/>
      <c r="P191" s="1"/>
      <c r="Q191" s="1"/>
      <c r="R191" s="1"/>
    </row>
    <row r="192" spans="7:18" ht="12.75" customHeight="1" x14ac:dyDescent="0.2">
      <c r="G192" s="112"/>
      <c r="K192" s="106"/>
      <c r="O192" s="1"/>
      <c r="P192" s="1"/>
      <c r="Q192" s="1"/>
      <c r="R192" s="1"/>
    </row>
    <row r="193" spans="7:18" ht="12.75" customHeight="1" x14ac:dyDescent="0.2">
      <c r="G193" s="109"/>
      <c r="K193" s="106"/>
      <c r="O193" s="1"/>
      <c r="P193" s="1"/>
      <c r="Q193" s="1"/>
      <c r="R193" s="1"/>
    </row>
    <row r="194" spans="7:18" ht="12.75" customHeight="1" x14ac:dyDescent="0.2">
      <c r="G194" s="112"/>
      <c r="H194" s="105"/>
      <c r="K194" s="106"/>
      <c r="O194" s="1"/>
      <c r="P194" s="1"/>
      <c r="Q194" s="1"/>
      <c r="R194" s="1"/>
    </row>
    <row r="195" spans="7:18" ht="12.75" customHeight="1" x14ac:dyDescent="0.2">
      <c r="G195" s="112"/>
      <c r="H195" s="108"/>
      <c r="I195" s="105"/>
      <c r="J195" s="105"/>
      <c r="K195" s="105"/>
      <c r="O195" s="1"/>
      <c r="P195" s="1"/>
      <c r="Q195" s="1"/>
      <c r="R195" s="1"/>
    </row>
    <row r="196" spans="7:18" ht="12.75" customHeight="1" x14ac:dyDescent="0.2">
      <c r="G196" s="109"/>
      <c r="H196" s="110"/>
      <c r="I196" s="108"/>
      <c r="J196" s="108"/>
      <c r="K196" s="108"/>
      <c r="O196" s="1"/>
      <c r="P196" s="1"/>
      <c r="Q196" s="1"/>
      <c r="R196" s="1"/>
    </row>
    <row r="197" spans="7:18" ht="12.75" customHeight="1" x14ac:dyDescent="0.2">
      <c r="G197" s="109"/>
      <c r="H197" s="111"/>
      <c r="I197" s="110"/>
      <c r="J197" s="110"/>
      <c r="K197" s="110"/>
      <c r="O197" s="1"/>
      <c r="P197" s="1"/>
      <c r="Q197" s="1"/>
      <c r="R197" s="1"/>
    </row>
    <row r="198" spans="7:18" ht="12.75" customHeight="1" x14ac:dyDescent="0.2">
      <c r="G198" s="112"/>
      <c r="H198" s="111"/>
      <c r="I198" s="111"/>
      <c r="J198" s="111"/>
      <c r="K198" s="111"/>
      <c r="O198" s="1"/>
      <c r="P198" s="1"/>
      <c r="Q198" s="1"/>
      <c r="R198" s="1"/>
    </row>
    <row r="199" spans="7:18" ht="12.75" customHeight="1" x14ac:dyDescent="0.2">
      <c r="G199" s="112"/>
      <c r="H199" s="111"/>
      <c r="I199" s="111"/>
      <c r="J199" s="111"/>
      <c r="K199" s="111"/>
      <c r="O199" s="1"/>
      <c r="P199" s="1"/>
      <c r="Q199" s="1"/>
      <c r="R199" s="1"/>
    </row>
    <row r="200" spans="7:18" ht="12.75" customHeight="1" x14ac:dyDescent="0.2">
      <c r="G200" s="112"/>
      <c r="H200" s="111"/>
      <c r="I200" s="111"/>
      <c r="J200" s="111"/>
      <c r="K200" s="111"/>
      <c r="O200" s="1"/>
      <c r="P200" s="1"/>
      <c r="Q200" s="1"/>
      <c r="R200" s="1"/>
    </row>
    <row r="201" spans="7:18" ht="12.75" customHeight="1" x14ac:dyDescent="0.2">
      <c r="G201" s="112"/>
      <c r="H201" s="111"/>
      <c r="I201" s="111"/>
      <c r="J201" s="111"/>
      <c r="K201" s="111"/>
      <c r="O201" s="1"/>
      <c r="P201" s="1"/>
      <c r="Q201" s="1"/>
      <c r="R201" s="1"/>
    </row>
    <row r="202" spans="7:18" ht="12.75" customHeight="1" x14ac:dyDescent="0.2">
      <c r="G202" s="112"/>
      <c r="H202" s="111"/>
      <c r="I202" s="111"/>
      <c r="J202" s="111"/>
      <c r="K202" s="111"/>
      <c r="O202" s="1"/>
      <c r="P202" s="1"/>
      <c r="Q202" s="1"/>
      <c r="R202" s="1"/>
    </row>
    <row r="203" spans="7:18" ht="12.75" customHeight="1" x14ac:dyDescent="0.2">
      <c r="G203" s="112"/>
      <c r="H203" s="111"/>
      <c r="I203" s="111"/>
      <c r="J203" s="111"/>
      <c r="K203" s="111"/>
      <c r="O203" s="1"/>
      <c r="P203" s="1"/>
      <c r="Q203" s="1"/>
      <c r="R203" s="1"/>
    </row>
    <row r="204" spans="7:18" ht="12.75" customHeight="1" x14ac:dyDescent="0.2">
      <c r="G204" s="112"/>
      <c r="H204" s="111"/>
      <c r="I204" s="111"/>
      <c r="J204" s="111"/>
      <c r="K204" s="111"/>
      <c r="O204" s="1"/>
      <c r="P204" s="1"/>
      <c r="Q204" s="1"/>
      <c r="R204" s="1"/>
    </row>
    <row r="205" spans="7:18" ht="12.75" customHeight="1" x14ac:dyDescent="0.2">
      <c r="G205" s="112"/>
      <c r="H205" s="111"/>
      <c r="I205" s="111"/>
      <c r="J205" s="111"/>
      <c r="K205" s="111"/>
      <c r="O205" s="1"/>
      <c r="P205" s="1"/>
      <c r="Q205" s="1"/>
      <c r="R205" s="1"/>
    </row>
    <row r="206" spans="7:18" ht="12.75" customHeight="1" x14ac:dyDescent="0.2">
      <c r="G206" s="112"/>
      <c r="H206" s="111"/>
      <c r="I206" s="111"/>
      <c r="J206" s="111"/>
      <c r="K206" s="111"/>
      <c r="O206" s="1"/>
      <c r="P206" s="1"/>
      <c r="Q206" s="1"/>
      <c r="R206" s="1"/>
    </row>
    <row r="207" spans="7:18" ht="12.75" customHeight="1" x14ac:dyDescent="0.2">
      <c r="G207" s="112"/>
      <c r="H207" s="113"/>
      <c r="I207" s="111"/>
      <c r="J207" s="111"/>
      <c r="K207" s="111"/>
      <c r="O207" s="1"/>
      <c r="P207" s="1"/>
      <c r="Q207" s="1"/>
      <c r="R207" s="1"/>
    </row>
    <row r="208" spans="7:18" ht="12.75" customHeight="1" x14ac:dyDescent="0.2">
      <c r="G208" s="112"/>
      <c r="H208" s="113"/>
      <c r="I208" s="113"/>
      <c r="J208" s="113"/>
      <c r="K208" s="114"/>
      <c r="O208" s="1"/>
      <c r="P208" s="1"/>
      <c r="Q208" s="1"/>
      <c r="R208" s="1"/>
    </row>
    <row r="209" spans="7:18" ht="12.75" customHeight="1" x14ac:dyDescent="0.2">
      <c r="G209" s="112"/>
      <c r="H209" s="113"/>
      <c r="I209" s="113"/>
      <c r="J209" s="113"/>
      <c r="K209" s="114"/>
      <c r="O209" s="1"/>
      <c r="P209" s="1"/>
      <c r="Q209" s="1"/>
      <c r="R209" s="1"/>
    </row>
    <row r="210" spans="7:18" ht="12.75" customHeight="1" x14ac:dyDescent="0.2">
      <c r="G210" s="112"/>
      <c r="H210" s="113"/>
      <c r="I210" s="113"/>
      <c r="J210" s="113"/>
      <c r="K210" s="114"/>
      <c r="O210" s="1"/>
      <c r="P210" s="1"/>
      <c r="Q210" s="1"/>
      <c r="R210" s="1"/>
    </row>
    <row r="211" spans="7:18" ht="12.75" customHeight="1" x14ac:dyDescent="0.2">
      <c r="G211" s="112"/>
      <c r="H211" s="114"/>
      <c r="I211" s="113"/>
      <c r="J211" s="113"/>
      <c r="K211" s="114"/>
      <c r="O211" s="1"/>
      <c r="P211" s="1"/>
      <c r="Q211" s="1"/>
      <c r="R211" s="1"/>
    </row>
    <row r="212" spans="7:18" ht="12.75" customHeight="1" x14ac:dyDescent="0.2">
      <c r="G212" s="112"/>
      <c r="H212" s="111"/>
      <c r="I212" s="114"/>
      <c r="J212" s="114"/>
      <c r="K212" s="114"/>
      <c r="O212" s="1"/>
      <c r="P212" s="1"/>
      <c r="Q212" s="1"/>
      <c r="R212" s="1"/>
    </row>
    <row r="213" spans="7:18" ht="12.75" customHeight="1" x14ac:dyDescent="0.2">
      <c r="G213" s="112"/>
      <c r="H213" s="110"/>
      <c r="I213" s="111"/>
      <c r="J213" s="111"/>
      <c r="K213" s="111"/>
      <c r="O213" s="1"/>
      <c r="P213" s="1"/>
      <c r="Q213" s="1"/>
      <c r="R213" s="1"/>
    </row>
    <row r="214" spans="7:18" ht="12.75" customHeight="1" x14ac:dyDescent="0.2">
      <c r="G214" s="112"/>
      <c r="H214" s="110"/>
      <c r="I214" s="110"/>
      <c r="J214" s="110"/>
      <c r="K214" s="110"/>
      <c r="O214" s="1"/>
      <c r="P214" s="1"/>
      <c r="Q214" s="1"/>
      <c r="R214" s="1"/>
    </row>
    <row r="215" spans="7:18" ht="12.75" customHeight="1" x14ac:dyDescent="0.2">
      <c r="G215" s="109"/>
      <c r="H215" s="111"/>
      <c r="I215" s="110"/>
      <c r="J215" s="110"/>
      <c r="K215" s="110"/>
      <c r="O215" s="1"/>
      <c r="P215" s="1"/>
      <c r="Q215" s="1"/>
      <c r="R215" s="1"/>
    </row>
    <row r="216" spans="7:18" ht="12.75" customHeight="1" x14ac:dyDescent="0.2">
      <c r="G216" s="109"/>
      <c r="H216" s="111"/>
      <c r="I216" s="111"/>
      <c r="J216" s="111"/>
      <c r="K216" s="111"/>
      <c r="O216" s="1"/>
      <c r="P216" s="1"/>
      <c r="Q216" s="1"/>
      <c r="R216" s="1"/>
    </row>
    <row r="217" spans="7:18" ht="12.75" customHeight="1" x14ac:dyDescent="0.2">
      <c r="G217" s="1"/>
      <c r="H217" s="111"/>
      <c r="I217" s="111"/>
      <c r="J217" s="111"/>
      <c r="K217" s="111"/>
      <c r="O217" s="1"/>
      <c r="P217" s="1"/>
      <c r="Q217" s="1"/>
      <c r="R217" s="1"/>
    </row>
    <row r="218" spans="7:18" ht="12.75" customHeight="1" x14ac:dyDescent="0.2">
      <c r="G218" s="1"/>
      <c r="H218" s="111"/>
      <c r="I218" s="111"/>
      <c r="J218" s="111"/>
      <c r="K218" s="111"/>
      <c r="O218" s="1"/>
      <c r="P218" s="1"/>
      <c r="Q218" s="1"/>
      <c r="R218" s="1"/>
    </row>
    <row r="219" spans="7:18" ht="12.75" customHeight="1" x14ac:dyDescent="0.2">
      <c r="G219" s="1"/>
      <c r="H219" s="111"/>
      <c r="I219" s="111"/>
      <c r="J219" s="111"/>
      <c r="K219" s="111"/>
      <c r="O219" s="1"/>
      <c r="P219" s="1"/>
      <c r="Q219" s="1"/>
      <c r="R219" s="1"/>
    </row>
    <row r="220" spans="7:18" ht="12.75" customHeight="1" x14ac:dyDescent="0.2">
      <c r="G220" s="1"/>
      <c r="H220" s="111"/>
      <c r="I220" s="111"/>
      <c r="J220" s="111"/>
      <c r="K220" s="111"/>
      <c r="O220" s="1"/>
      <c r="P220" s="1"/>
      <c r="Q220" s="1"/>
      <c r="R220" s="1"/>
    </row>
    <row r="221" spans="7:18" ht="12.75" customHeight="1" x14ac:dyDescent="0.2">
      <c r="G221" s="1"/>
      <c r="H221" s="111"/>
      <c r="I221" s="111"/>
      <c r="J221" s="111"/>
      <c r="K221" s="111"/>
      <c r="O221" s="1"/>
      <c r="P221" s="1"/>
      <c r="Q221" s="1"/>
      <c r="R221" s="1"/>
    </row>
    <row r="222" spans="7:18" ht="12.75" customHeight="1" x14ac:dyDescent="0.2">
      <c r="G222" s="1"/>
      <c r="H222" s="111"/>
      <c r="I222" s="111"/>
      <c r="J222" s="111"/>
      <c r="K222" s="111"/>
      <c r="O222" s="1"/>
      <c r="P222" s="1"/>
      <c r="Q222" s="1"/>
      <c r="R222" s="1"/>
    </row>
    <row r="223" spans="7:18" ht="12.75" customHeight="1" x14ac:dyDescent="0.2">
      <c r="G223" s="116"/>
      <c r="H223" s="111"/>
      <c r="I223" s="111"/>
      <c r="J223" s="111"/>
      <c r="K223" s="111"/>
      <c r="O223" s="1"/>
      <c r="P223" s="1"/>
      <c r="Q223" s="1"/>
      <c r="R223" s="1"/>
    </row>
    <row r="224" spans="7:18" ht="12.75" customHeight="1" x14ac:dyDescent="0.2">
      <c r="G224" s="116"/>
      <c r="H224" s="111"/>
      <c r="I224" s="111"/>
      <c r="J224" s="111"/>
      <c r="K224" s="111"/>
      <c r="O224" s="1"/>
      <c r="P224" s="1"/>
      <c r="Q224" s="1"/>
      <c r="R224" s="1"/>
    </row>
    <row r="225" spans="7:18" ht="12.75" customHeight="1" x14ac:dyDescent="0.2">
      <c r="G225" s="116"/>
      <c r="H225" s="111"/>
      <c r="I225" s="111"/>
      <c r="J225" s="111"/>
      <c r="K225" s="111"/>
      <c r="O225" s="1"/>
      <c r="P225" s="1"/>
      <c r="Q225" s="1"/>
      <c r="R225" s="1"/>
    </row>
    <row r="226" spans="7:18" ht="12.75" customHeight="1" x14ac:dyDescent="0.2">
      <c r="G226" s="116"/>
      <c r="H226" s="111"/>
      <c r="I226" s="111"/>
      <c r="J226" s="111"/>
      <c r="K226" s="111"/>
      <c r="O226" s="1"/>
      <c r="P226" s="1"/>
      <c r="Q226" s="1"/>
      <c r="R226" s="1"/>
    </row>
    <row r="227" spans="7:18" ht="12.75" customHeight="1" x14ac:dyDescent="0.2">
      <c r="G227" s="119"/>
      <c r="H227" s="111"/>
      <c r="I227" s="111"/>
      <c r="J227" s="111"/>
      <c r="K227" s="111"/>
      <c r="O227" s="1"/>
      <c r="P227" s="1"/>
      <c r="Q227" s="1"/>
      <c r="R227" s="1"/>
    </row>
    <row r="228" spans="7:18" ht="12.75" customHeight="1" x14ac:dyDescent="0.2">
      <c r="G228" s="119"/>
      <c r="H228" s="111"/>
      <c r="I228" s="111"/>
      <c r="J228" s="111"/>
      <c r="K228" s="111"/>
      <c r="O228" s="1"/>
      <c r="P228" s="1"/>
      <c r="Q228" s="1"/>
      <c r="R228" s="1"/>
    </row>
    <row r="229" spans="7:18" ht="12.75" customHeight="1" x14ac:dyDescent="0.2">
      <c r="G229" s="109"/>
      <c r="H229" s="111"/>
      <c r="I229" s="111"/>
      <c r="J229" s="111"/>
      <c r="K229" s="111"/>
      <c r="O229" s="1"/>
      <c r="P229" s="1"/>
      <c r="Q229" s="1"/>
      <c r="R229" s="1"/>
    </row>
    <row r="230" spans="7:18" ht="12.75" customHeight="1" x14ac:dyDescent="0.2">
      <c r="G230" s="121"/>
      <c r="H230" s="111"/>
      <c r="I230" s="111"/>
      <c r="J230" s="111"/>
      <c r="K230" s="115"/>
      <c r="O230" s="1"/>
      <c r="P230" s="1"/>
      <c r="Q230" s="1"/>
      <c r="R230" s="1"/>
    </row>
    <row r="231" spans="7:18" ht="12.75" customHeight="1" x14ac:dyDescent="0.2">
      <c r="G231" s="121"/>
      <c r="H231" s="111"/>
      <c r="I231" s="111"/>
      <c r="J231" s="111"/>
      <c r="K231" s="111"/>
      <c r="O231" s="1"/>
      <c r="P231" s="1"/>
      <c r="Q231" s="1"/>
      <c r="R231" s="1"/>
    </row>
    <row r="232" spans="7:18" ht="12.75" customHeight="1" x14ac:dyDescent="0.2">
      <c r="G232" s="121"/>
      <c r="H232" s="111"/>
      <c r="I232" s="111"/>
      <c r="J232" s="111"/>
      <c r="K232" s="111"/>
      <c r="O232" s="1"/>
      <c r="P232" s="1"/>
      <c r="Q232" s="1"/>
      <c r="R232" s="1"/>
    </row>
    <row r="233" spans="7:18" ht="12.75" customHeight="1" x14ac:dyDescent="0.2">
      <c r="G233" s="1"/>
      <c r="H233" s="111"/>
      <c r="I233" s="111"/>
      <c r="J233" s="111"/>
      <c r="K233" s="111"/>
      <c r="O233" s="1"/>
      <c r="P233" s="1"/>
      <c r="Q233" s="1"/>
      <c r="R233" s="1"/>
    </row>
    <row r="234" spans="7:18" ht="12.75" customHeight="1" x14ac:dyDescent="0.2">
      <c r="G234" s="121"/>
      <c r="H234" s="1"/>
      <c r="I234" s="111"/>
      <c r="J234" s="111"/>
      <c r="K234" s="111"/>
      <c r="O234" s="1"/>
      <c r="P234" s="1"/>
      <c r="Q234" s="1"/>
      <c r="R234" s="1"/>
    </row>
    <row r="235" spans="7:18" ht="12.75" customHeight="1" x14ac:dyDescent="0.2">
      <c r="G235" s="121"/>
      <c r="H235" s="1"/>
      <c r="I235" s="1"/>
      <c r="J235" s="1"/>
      <c r="K235" s="1"/>
      <c r="O235" s="1"/>
      <c r="P235" s="1"/>
      <c r="Q235" s="1"/>
      <c r="R235" s="1"/>
    </row>
    <row r="236" spans="7:18" ht="12.75" customHeight="1" x14ac:dyDescent="0.2">
      <c r="G236" s="121"/>
      <c r="H236" s="1"/>
      <c r="I236" s="1"/>
      <c r="J236" s="1"/>
      <c r="K236" s="1"/>
      <c r="O236" s="1"/>
      <c r="P236" s="1"/>
      <c r="Q236" s="1"/>
      <c r="R236" s="1"/>
    </row>
    <row r="237" spans="7:18" ht="12.75" customHeight="1" x14ac:dyDescent="0.2">
      <c r="G237" s="121"/>
      <c r="H237" s="1"/>
      <c r="I237" s="1"/>
      <c r="J237" s="1"/>
      <c r="K237" s="1"/>
      <c r="O237" s="1"/>
      <c r="P237" s="1"/>
      <c r="Q237" s="1"/>
      <c r="R237" s="1"/>
    </row>
    <row r="238" spans="7:18" ht="12.75" customHeight="1" x14ac:dyDescent="0.2">
      <c r="G238" s="121"/>
      <c r="H238" s="1"/>
      <c r="I238" s="1"/>
      <c r="J238" s="1"/>
      <c r="K238" s="1"/>
      <c r="O238" s="1"/>
      <c r="P238" s="1"/>
      <c r="Q238" s="1"/>
      <c r="R238" s="1"/>
    </row>
    <row r="239" spans="7:18" ht="12.75" customHeight="1" x14ac:dyDescent="0.2">
      <c r="G239" s="121"/>
      <c r="H239" s="1"/>
      <c r="I239" s="1"/>
      <c r="J239" s="1"/>
      <c r="K239" s="1"/>
      <c r="O239" s="1"/>
      <c r="P239" s="1"/>
      <c r="Q239" s="1"/>
      <c r="R239" s="1"/>
    </row>
    <row r="240" spans="7:18" ht="12.75" customHeight="1" x14ac:dyDescent="0.2">
      <c r="G240" s="121"/>
      <c r="H240" s="117"/>
      <c r="I240" s="1"/>
      <c r="J240" s="1"/>
      <c r="K240" s="1"/>
      <c r="O240" s="1"/>
      <c r="P240" s="1"/>
      <c r="Q240" s="1"/>
      <c r="R240" s="1"/>
    </row>
    <row r="241" spans="7:18" ht="12.75" customHeight="1" x14ac:dyDescent="0.2">
      <c r="G241" s="121"/>
      <c r="H241" s="117"/>
      <c r="I241" s="117"/>
      <c r="J241" s="117"/>
      <c r="K241" s="116"/>
      <c r="O241" s="1"/>
      <c r="P241" s="1"/>
      <c r="Q241" s="1"/>
      <c r="R241" s="1"/>
    </row>
    <row r="242" spans="7:18" ht="12.75" customHeight="1" x14ac:dyDescent="0.2">
      <c r="G242" s="121"/>
      <c r="H242" s="118"/>
      <c r="I242" s="117"/>
      <c r="J242" s="117"/>
      <c r="K242" s="116"/>
      <c r="O242" s="1"/>
      <c r="P242" s="1"/>
      <c r="Q242" s="1"/>
      <c r="R242" s="1"/>
    </row>
    <row r="243" spans="7:18" ht="12.75" customHeight="1" x14ac:dyDescent="0.2">
      <c r="G243" s="121"/>
      <c r="H243" s="118"/>
      <c r="I243" s="118"/>
      <c r="J243" s="118"/>
      <c r="K243" s="116"/>
      <c r="O243" s="1"/>
      <c r="P243" s="1"/>
      <c r="Q243" s="1"/>
      <c r="R243" s="1"/>
    </row>
    <row r="244" spans="7:18" ht="12.75" customHeight="1" x14ac:dyDescent="0.2">
      <c r="G244" s="121"/>
      <c r="H244" s="120"/>
      <c r="I244" s="118"/>
      <c r="J244" s="118"/>
      <c r="K244" s="116"/>
      <c r="O244" s="1"/>
      <c r="P244" s="1"/>
      <c r="Q244" s="1"/>
      <c r="R244" s="1"/>
    </row>
    <row r="245" spans="7:18" ht="12.75" customHeight="1" x14ac:dyDescent="0.2">
      <c r="G245" s="119"/>
      <c r="H245" s="110"/>
      <c r="I245" s="120"/>
      <c r="J245" s="120"/>
      <c r="K245" s="120"/>
      <c r="O245" s="1"/>
      <c r="P245" s="1"/>
      <c r="Q245" s="1"/>
      <c r="R245" s="1"/>
    </row>
    <row r="246" spans="7:18" ht="12.75" customHeight="1" x14ac:dyDescent="0.2">
      <c r="G246" s="1"/>
      <c r="H246" s="110"/>
      <c r="I246" s="110"/>
      <c r="J246" s="110"/>
      <c r="K246" s="120"/>
      <c r="O246" s="1"/>
      <c r="P246" s="1"/>
      <c r="Q246" s="1"/>
      <c r="R246" s="1"/>
    </row>
    <row r="247" spans="7:18" ht="12.75" customHeight="1" x14ac:dyDescent="0.2">
      <c r="G247" s="1"/>
      <c r="H247" s="120"/>
      <c r="I247" s="110"/>
      <c r="J247" s="110"/>
      <c r="K247" s="110"/>
      <c r="O247" s="1"/>
      <c r="P247" s="1"/>
      <c r="Q247" s="1"/>
      <c r="R247" s="1"/>
    </row>
    <row r="248" spans="7:18" ht="12.75" customHeight="1" x14ac:dyDescent="0.2">
      <c r="G248" s="1"/>
      <c r="H248" s="120"/>
      <c r="I248" s="120"/>
      <c r="J248" s="120"/>
      <c r="K248" s="122"/>
      <c r="O248" s="1"/>
      <c r="P248" s="1"/>
      <c r="Q248" s="1"/>
      <c r="R248" s="1"/>
    </row>
    <row r="249" spans="7:18" ht="12.75" customHeight="1" x14ac:dyDescent="0.2">
      <c r="G249" s="1"/>
      <c r="H249" s="120"/>
      <c r="I249" s="120"/>
      <c r="J249" s="120"/>
      <c r="K249" s="120"/>
      <c r="O249" s="1"/>
      <c r="P249" s="1"/>
      <c r="Q249" s="1"/>
      <c r="R249" s="1"/>
    </row>
    <row r="250" spans="7:18" ht="12.75" customHeight="1" x14ac:dyDescent="0.2">
      <c r="G250" s="1"/>
      <c r="H250" s="120"/>
      <c r="I250" s="120"/>
      <c r="J250" s="120"/>
      <c r="K250" s="123"/>
      <c r="O250" s="1"/>
      <c r="P250" s="1"/>
      <c r="Q250" s="1"/>
      <c r="R250" s="1"/>
    </row>
    <row r="251" spans="7:18" ht="12.75" customHeight="1" x14ac:dyDescent="0.2">
      <c r="G251" s="1"/>
      <c r="H251" s="120"/>
      <c r="I251" s="120"/>
      <c r="J251" s="120"/>
      <c r="K251" s="120"/>
      <c r="O251" s="1"/>
      <c r="P251" s="1"/>
      <c r="Q251" s="1"/>
      <c r="R251" s="1"/>
    </row>
    <row r="252" spans="7:18" ht="12.75" customHeight="1" x14ac:dyDescent="0.2">
      <c r="G252" s="1"/>
      <c r="H252" s="120"/>
      <c r="I252" s="120"/>
      <c r="J252" s="120"/>
      <c r="K252" s="123"/>
      <c r="O252" s="1"/>
      <c r="P252" s="1"/>
      <c r="Q252" s="1"/>
      <c r="R252" s="1"/>
    </row>
    <row r="253" spans="7:18" ht="12.75" customHeight="1" x14ac:dyDescent="0.2">
      <c r="G253" s="1"/>
      <c r="H253" s="120"/>
      <c r="I253" s="120"/>
      <c r="J253" s="120"/>
      <c r="K253" s="123"/>
      <c r="O253" s="1"/>
      <c r="P253" s="1"/>
      <c r="Q253" s="1"/>
      <c r="R253" s="1"/>
    </row>
    <row r="254" spans="7:18" ht="12.75" customHeight="1" x14ac:dyDescent="0.2">
      <c r="G254" s="1"/>
      <c r="H254" s="120"/>
      <c r="I254" s="120"/>
      <c r="J254" s="120"/>
      <c r="K254" s="123"/>
      <c r="O254" s="1"/>
      <c r="P254" s="1"/>
      <c r="Q254" s="1"/>
      <c r="R254" s="1"/>
    </row>
    <row r="255" spans="7:18" ht="12.75" customHeight="1" x14ac:dyDescent="0.2">
      <c r="G255" s="1"/>
      <c r="H255" s="120"/>
      <c r="I255" s="120"/>
      <c r="J255" s="120"/>
      <c r="K255" s="120"/>
      <c r="O255" s="1"/>
      <c r="P255" s="1"/>
      <c r="Q255" s="1"/>
      <c r="R255" s="1"/>
    </row>
    <row r="256" spans="7:18" ht="12.75" customHeight="1" x14ac:dyDescent="0.2">
      <c r="G256" s="1"/>
      <c r="H256" s="120"/>
      <c r="I256" s="120"/>
      <c r="J256" s="120"/>
      <c r="K256" s="122"/>
      <c r="O256" s="1"/>
      <c r="P256" s="1"/>
      <c r="Q256" s="1"/>
      <c r="R256" s="1"/>
    </row>
    <row r="257" spans="7:18" ht="12.75" customHeight="1" x14ac:dyDescent="0.2">
      <c r="G257" s="1"/>
      <c r="H257" s="120"/>
      <c r="I257" s="120"/>
      <c r="J257" s="120"/>
      <c r="K257" s="120"/>
      <c r="O257" s="1"/>
      <c r="P257" s="1"/>
      <c r="Q257" s="1"/>
      <c r="R257" s="1"/>
    </row>
    <row r="258" spans="7:18" ht="12.75" customHeight="1" x14ac:dyDescent="0.2">
      <c r="G258" s="1"/>
      <c r="H258" s="120"/>
      <c r="I258" s="120"/>
      <c r="J258" s="120"/>
      <c r="K258" s="124"/>
      <c r="O258" s="1"/>
      <c r="P258" s="1"/>
      <c r="Q258" s="1"/>
      <c r="R258" s="1"/>
    </row>
    <row r="259" spans="7:18" ht="12.75" customHeight="1" x14ac:dyDescent="0.2">
      <c r="G259" s="1"/>
      <c r="H259" s="120"/>
      <c r="I259" s="120"/>
      <c r="J259" s="120"/>
      <c r="K259" s="120"/>
      <c r="O259" s="1"/>
      <c r="P259" s="1"/>
      <c r="Q259" s="1"/>
      <c r="R259" s="1"/>
    </row>
    <row r="260" spans="7:18" ht="12.75" customHeight="1" x14ac:dyDescent="0.2">
      <c r="G260" s="1"/>
      <c r="H260" s="120"/>
      <c r="I260" s="120"/>
      <c r="J260" s="120"/>
      <c r="K260" s="122"/>
      <c r="O260" s="1"/>
      <c r="P260" s="1"/>
      <c r="Q260" s="1"/>
      <c r="R260" s="1"/>
    </row>
    <row r="261" spans="7:18" ht="12.75" customHeight="1" x14ac:dyDescent="0.2">
      <c r="G261" s="1"/>
      <c r="H261" s="120"/>
      <c r="I261" s="120"/>
      <c r="J261" s="120"/>
      <c r="K261" s="120"/>
      <c r="O261" s="1"/>
      <c r="P261" s="1"/>
      <c r="Q261" s="1"/>
      <c r="R261" s="1"/>
    </row>
    <row r="262" spans="7:18" ht="12.75" customHeight="1" x14ac:dyDescent="0.2">
      <c r="G262" s="1"/>
      <c r="H262" s="120"/>
      <c r="I262" s="120"/>
      <c r="J262" s="120"/>
      <c r="K262" s="125"/>
      <c r="O262" s="1"/>
      <c r="P262" s="1"/>
      <c r="Q262" s="1"/>
      <c r="R262" s="1"/>
    </row>
    <row r="263" spans="7:18" ht="12.75" customHeight="1" x14ac:dyDescent="0.2">
      <c r="G263" s="1"/>
      <c r="H263" s="1"/>
      <c r="I263" s="120"/>
      <c r="J263" s="120"/>
      <c r="K263" s="120"/>
      <c r="O263" s="1"/>
      <c r="P263" s="1"/>
      <c r="Q263" s="1"/>
      <c r="R263" s="1"/>
    </row>
    <row r="264" spans="7:18" ht="12.75" customHeight="1" x14ac:dyDescent="0.2">
      <c r="G264" s="1"/>
      <c r="H264" s="1"/>
      <c r="I264" s="1"/>
      <c r="J264" s="1"/>
      <c r="K264" s="1"/>
      <c r="O264" s="1"/>
      <c r="P264" s="1"/>
      <c r="Q264" s="1"/>
      <c r="R264" s="1"/>
    </row>
    <row r="265" spans="7:18" ht="12.75" customHeight="1" x14ac:dyDescent="0.2">
      <c r="G265" s="1"/>
      <c r="H265" s="1"/>
      <c r="I265" s="1"/>
      <c r="J265" s="1"/>
      <c r="K265" s="1"/>
      <c r="O265" s="1"/>
      <c r="P265" s="1"/>
      <c r="Q265" s="1"/>
      <c r="R265" s="1"/>
    </row>
    <row r="266" spans="7:18" ht="12.75" customHeight="1" x14ac:dyDescent="0.2">
      <c r="G266" s="1"/>
      <c r="H266" s="1"/>
      <c r="I266" s="1"/>
      <c r="J266" s="1"/>
      <c r="K266" s="1"/>
      <c r="O266" s="1"/>
      <c r="P266" s="1"/>
      <c r="Q266" s="1"/>
      <c r="R266" s="1"/>
    </row>
    <row r="267" spans="7:18" ht="12.75" customHeight="1" x14ac:dyDescent="0.2">
      <c r="G267" s="1"/>
      <c r="H267" s="1"/>
      <c r="I267" s="1"/>
      <c r="J267" s="1"/>
      <c r="K267" s="1"/>
      <c r="O267" s="1"/>
      <c r="P267" s="1"/>
      <c r="Q267" s="1"/>
      <c r="R267" s="1"/>
    </row>
    <row r="268" spans="7:18" ht="12.75" customHeight="1" x14ac:dyDescent="0.2">
      <c r="G268" s="1"/>
      <c r="H268" s="1"/>
      <c r="I268" s="1"/>
      <c r="J268" s="1"/>
      <c r="K268" s="1"/>
      <c r="O268" s="1"/>
      <c r="P268" s="1"/>
      <c r="Q268" s="1"/>
      <c r="R268" s="1"/>
    </row>
    <row r="269" spans="7:18" ht="12.75" customHeight="1" x14ac:dyDescent="0.2">
      <c r="G269" s="1"/>
      <c r="H269" s="1"/>
      <c r="I269" s="1"/>
      <c r="J269" s="1"/>
      <c r="K269" s="1"/>
      <c r="O269" s="1"/>
      <c r="P269" s="1"/>
      <c r="Q269" s="1"/>
      <c r="R269" s="1"/>
    </row>
    <row r="270" spans="7:18" ht="12.75" customHeight="1" x14ac:dyDescent="0.2">
      <c r="G270" s="1"/>
      <c r="H270" s="1"/>
      <c r="I270" s="1"/>
      <c r="J270" s="1"/>
      <c r="K270" s="1"/>
      <c r="O270" s="1"/>
      <c r="P270" s="1"/>
      <c r="Q270" s="1"/>
      <c r="R270" s="1"/>
    </row>
    <row r="271" spans="7:18" ht="12.75" customHeight="1" x14ac:dyDescent="0.2">
      <c r="G271" s="1"/>
      <c r="H271" s="1"/>
      <c r="I271" s="1"/>
      <c r="J271" s="1"/>
      <c r="K271" s="1"/>
      <c r="O271" s="1"/>
      <c r="P271" s="1"/>
      <c r="Q271" s="1"/>
      <c r="R271" s="1"/>
    </row>
    <row r="272" spans="7:18" ht="12.75" customHeight="1" x14ac:dyDescent="0.2">
      <c r="G272" s="1"/>
      <c r="H272" s="1"/>
      <c r="I272" s="1"/>
      <c r="J272" s="1"/>
      <c r="K272" s="1"/>
      <c r="O272" s="1"/>
      <c r="P272" s="1"/>
      <c r="Q272" s="1"/>
      <c r="R272" s="1"/>
    </row>
    <row r="273" spans="7:18" ht="12.75" customHeight="1" x14ac:dyDescent="0.2">
      <c r="G273" s="1"/>
      <c r="H273" s="1"/>
      <c r="I273" s="1"/>
      <c r="J273" s="1"/>
      <c r="K273" s="1"/>
      <c r="O273" s="1"/>
      <c r="P273" s="1"/>
      <c r="Q273" s="1"/>
      <c r="R273" s="1"/>
    </row>
    <row r="274" spans="7:18" ht="12.75" customHeight="1" x14ac:dyDescent="0.2">
      <c r="G274" s="1"/>
      <c r="H274" s="1"/>
      <c r="I274" s="1"/>
      <c r="J274" s="1"/>
      <c r="K274" s="1"/>
      <c r="O274" s="1"/>
      <c r="P274" s="1"/>
      <c r="Q274" s="1"/>
      <c r="R274" s="1"/>
    </row>
    <row r="275" spans="7:18" ht="12.75" customHeight="1" x14ac:dyDescent="0.2">
      <c r="G275" s="1"/>
      <c r="H275" s="1"/>
      <c r="I275" s="1"/>
      <c r="J275" s="1"/>
      <c r="K275" s="1"/>
      <c r="O275" s="1"/>
      <c r="P275" s="1"/>
      <c r="Q275" s="1"/>
      <c r="R275" s="1"/>
    </row>
    <row r="276" spans="7:18" ht="12.75" customHeight="1" x14ac:dyDescent="0.2">
      <c r="G276" s="1"/>
      <c r="H276" s="1"/>
      <c r="I276" s="1"/>
      <c r="J276" s="1"/>
      <c r="K276" s="1"/>
      <c r="O276" s="1"/>
      <c r="P276" s="1"/>
      <c r="Q276" s="1"/>
      <c r="R276" s="1"/>
    </row>
    <row r="277" spans="7:18" ht="12.75" customHeight="1" x14ac:dyDescent="0.2">
      <c r="G277" s="1"/>
      <c r="H277" s="1"/>
      <c r="I277" s="1"/>
      <c r="J277" s="1"/>
      <c r="K277" s="1"/>
      <c r="O277" s="1"/>
      <c r="P277" s="1"/>
      <c r="Q277" s="1"/>
      <c r="R277" s="1"/>
    </row>
    <row r="278" spans="7:18" ht="12.75" customHeight="1" x14ac:dyDescent="0.2">
      <c r="G278" s="1"/>
      <c r="H278" s="1"/>
      <c r="I278" s="1"/>
      <c r="J278" s="1"/>
      <c r="K278" s="1"/>
      <c r="O278" s="1"/>
      <c r="P278" s="1"/>
      <c r="Q278" s="1"/>
      <c r="R278" s="1"/>
    </row>
    <row r="279" spans="7:18" ht="12.75" customHeight="1" x14ac:dyDescent="0.2">
      <c r="G279" s="1"/>
      <c r="H279" s="1"/>
      <c r="I279" s="1"/>
      <c r="J279" s="1"/>
      <c r="K279" s="1"/>
      <c r="O279" s="1"/>
      <c r="P279" s="1"/>
      <c r="Q279" s="1"/>
      <c r="R279" s="1"/>
    </row>
    <row r="280" spans="7:18" ht="12.75" customHeight="1" x14ac:dyDescent="0.2">
      <c r="H280" s="1"/>
      <c r="I280" s="1"/>
      <c r="J280" s="1"/>
      <c r="K280" s="1"/>
      <c r="O280" s="1"/>
      <c r="P280" s="1"/>
      <c r="Q280" s="1"/>
      <c r="R280" s="1"/>
    </row>
    <row r="281" spans="7:18" ht="12.75" customHeight="1" x14ac:dyDescent="0.2">
      <c r="H281" s="1"/>
      <c r="I281" s="1"/>
      <c r="J281" s="1"/>
      <c r="K281" s="1"/>
      <c r="O281" s="1"/>
      <c r="P281" s="1"/>
      <c r="Q281" s="1"/>
      <c r="R281" s="1"/>
    </row>
    <row r="282" spans="7:18" ht="12.75" customHeight="1" x14ac:dyDescent="0.2">
      <c r="H282" s="1"/>
      <c r="I282" s="1"/>
      <c r="J282" s="1"/>
      <c r="K282" s="1"/>
      <c r="O282" s="1"/>
      <c r="P282" s="1"/>
      <c r="Q282" s="1"/>
      <c r="R282" s="1"/>
    </row>
    <row r="283" spans="7:18" ht="12.75" customHeight="1" x14ac:dyDescent="0.2">
      <c r="H283" s="1"/>
      <c r="I283" s="1"/>
      <c r="J283" s="1"/>
      <c r="K283" s="1"/>
      <c r="O283" s="1"/>
      <c r="P283" s="1"/>
      <c r="Q283" s="1"/>
      <c r="R283" s="1"/>
    </row>
    <row r="284" spans="7:18" ht="12.75" customHeight="1" x14ac:dyDescent="0.2">
      <c r="H284" s="1"/>
      <c r="I284" s="1"/>
      <c r="J284" s="1"/>
      <c r="K284" s="1"/>
      <c r="O284" s="1"/>
      <c r="P284" s="1"/>
      <c r="Q284" s="1"/>
      <c r="R284" s="1"/>
    </row>
    <row r="285" spans="7:18" ht="12.75" customHeight="1" x14ac:dyDescent="0.2">
      <c r="H285" s="1"/>
      <c r="I285" s="1"/>
      <c r="J285" s="1"/>
      <c r="K285" s="1"/>
      <c r="O285" s="1"/>
      <c r="P285" s="1"/>
      <c r="Q285" s="1"/>
      <c r="R285" s="1"/>
    </row>
    <row r="286" spans="7:18" ht="12.75" customHeight="1" x14ac:dyDescent="0.2">
      <c r="H286" s="1"/>
      <c r="I286" s="1"/>
      <c r="J286" s="1"/>
      <c r="K286" s="1"/>
      <c r="O286" s="1"/>
      <c r="P286" s="1"/>
      <c r="Q286" s="1"/>
      <c r="R286" s="1"/>
    </row>
    <row r="287" spans="7:18" ht="12.75" customHeight="1" x14ac:dyDescent="0.2">
      <c r="H287" s="1"/>
      <c r="I287" s="1"/>
      <c r="J287" s="1"/>
      <c r="K287" s="1"/>
      <c r="O287" s="1"/>
      <c r="P287" s="1"/>
      <c r="Q287" s="1"/>
      <c r="R287" s="1"/>
    </row>
    <row r="288" spans="7:18" ht="12.75" customHeight="1" x14ac:dyDescent="0.2">
      <c r="H288" s="1"/>
      <c r="I288" s="1"/>
      <c r="J288" s="1"/>
      <c r="K288" s="1"/>
      <c r="O288" s="1"/>
      <c r="P288" s="1"/>
      <c r="Q288" s="1"/>
      <c r="R288" s="1"/>
    </row>
    <row r="289" spans="8:18" ht="12.75" customHeight="1" x14ac:dyDescent="0.2">
      <c r="H289" s="1"/>
      <c r="I289" s="1"/>
      <c r="J289" s="1"/>
      <c r="K289" s="1"/>
      <c r="O289" s="1"/>
      <c r="P289" s="1"/>
      <c r="Q289" s="1"/>
      <c r="R289" s="1"/>
    </row>
    <row r="290" spans="8:18" ht="12.75" customHeight="1" x14ac:dyDescent="0.2">
      <c r="H290" s="1"/>
      <c r="I290" s="1"/>
      <c r="J290" s="1"/>
      <c r="K290" s="1"/>
      <c r="O290" s="1"/>
      <c r="P290" s="1"/>
      <c r="Q290" s="1"/>
      <c r="R290" s="1"/>
    </row>
    <row r="291" spans="8:18" ht="12.75" customHeight="1" x14ac:dyDescent="0.2">
      <c r="H291" s="1"/>
      <c r="I291" s="1"/>
      <c r="J291" s="1"/>
      <c r="K291" s="1"/>
      <c r="O291" s="1"/>
      <c r="P291" s="1"/>
      <c r="Q291" s="1"/>
      <c r="R291" s="1"/>
    </row>
    <row r="292" spans="8:18" ht="12.75" customHeight="1" x14ac:dyDescent="0.2">
      <c r="H292" s="1"/>
      <c r="I292" s="1"/>
      <c r="J292" s="1"/>
      <c r="K292" s="1"/>
      <c r="O292" s="1"/>
      <c r="P292" s="1"/>
      <c r="Q292" s="1"/>
      <c r="R292" s="1"/>
    </row>
    <row r="293" spans="8:18" ht="12.75" customHeight="1" x14ac:dyDescent="0.2">
      <c r="H293" s="1"/>
      <c r="I293" s="1"/>
      <c r="J293" s="1"/>
      <c r="K293" s="1"/>
      <c r="O293" s="1"/>
      <c r="P293" s="1"/>
      <c r="Q293" s="1"/>
      <c r="R293" s="1"/>
    </row>
    <row r="294" spans="8:18" ht="12.75" customHeight="1" x14ac:dyDescent="0.2">
      <c r="H294" s="1"/>
      <c r="I294" s="1"/>
      <c r="J294" s="1"/>
      <c r="K294" s="1"/>
      <c r="O294" s="1"/>
      <c r="P294" s="1"/>
      <c r="Q294" s="1"/>
      <c r="R294" s="1"/>
    </row>
    <row r="295" spans="8:18" ht="12.75" customHeight="1" x14ac:dyDescent="0.2">
      <c r="H295" s="1"/>
      <c r="I295" s="1"/>
      <c r="J295" s="1"/>
      <c r="K295" s="1"/>
      <c r="O295" s="1"/>
      <c r="P295" s="1"/>
      <c r="Q295" s="1"/>
      <c r="R295" s="1"/>
    </row>
    <row r="296" spans="8:18" ht="12.75" customHeight="1" x14ac:dyDescent="0.2">
      <c r="H296" s="1"/>
      <c r="I296" s="1"/>
      <c r="J296" s="1"/>
      <c r="K296" s="1"/>
      <c r="O296" s="1"/>
      <c r="P296" s="1"/>
      <c r="Q296" s="1"/>
      <c r="R296" s="1"/>
    </row>
    <row r="297" spans="8:18" ht="12.75" customHeight="1" x14ac:dyDescent="0.2">
      <c r="I297" s="1"/>
      <c r="J297" s="1"/>
      <c r="K297" s="1"/>
      <c r="O297" s="1"/>
      <c r="P297" s="1"/>
      <c r="Q297" s="1"/>
      <c r="R297" s="1"/>
    </row>
    <row r="298" spans="8:18" ht="12.75" customHeight="1" x14ac:dyDescent="0.2">
      <c r="O298" s="1"/>
      <c r="P298" s="1"/>
      <c r="Q298" s="1"/>
      <c r="R298" s="1"/>
    </row>
    <row r="299" spans="8:18" ht="12.75" customHeight="1" x14ac:dyDescent="0.2">
      <c r="O299" s="1"/>
      <c r="P299" s="1"/>
      <c r="Q299" s="1"/>
      <c r="R299" s="1"/>
    </row>
    <row r="300" spans="8:18" ht="12.75" customHeight="1" x14ac:dyDescent="0.2">
      <c r="O300" s="1"/>
      <c r="P300" s="1"/>
      <c r="Q300" s="1"/>
      <c r="R300" s="1"/>
    </row>
    <row r="301" spans="8:18" ht="12.75" customHeight="1" x14ac:dyDescent="0.2">
      <c r="O301" s="1"/>
      <c r="P301" s="1"/>
      <c r="Q301" s="1"/>
      <c r="R301" s="1"/>
    </row>
    <row r="302" spans="8:18" ht="12.75" customHeight="1" x14ac:dyDescent="0.2">
      <c r="O302" s="1"/>
      <c r="P302" s="1"/>
      <c r="Q302" s="1"/>
      <c r="R302" s="1"/>
    </row>
    <row r="303" spans="8:18" ht="12.75" customHeight="1" x14ac:dyDescent="0.2">
      <c r="O303" s="1"/>
      <c r="P303" s="1"/>
      <c r="Q303" s="1"/>
      <c r="R303" s="1"/>
    </row>
    <row r="304" spans="8:18" ht="12.75" customHeight="1" x14ac:dyDescent="0.2">
      <c r="O304" s="1"/>
      <c r="P304" s="1"/>
      <c r="Q304" s="1"/>
      <c r="R304" s="1"/>
    </row>
    <row r="305" spans="15:18" ht="12.75" customHeight="1" x14ac:dyDescent="0.2">
      <c r="O305" s="1"/>
      <c r="P305" s="1"/>
      <c r="Q305" s="1"/>
      <c r="R305" s="1"/>
    </row>
    <row r="306" spans="15:18" ht="12.75" customHeight="1" x14ac:dyDescent="0.2">
      <c r="O306" s="1"/>
      <c r="P306" s="1"/>
      <c r="Q306" s="1"/>
      <c r="R306" s="1"/>
    </row>
    <row r="307" spans="15:18" ht="12.75" customHeight="1" x14ac:dyDescent="0.2">
      <c r="O307" s="1"/>
      <c r="P307" s="1"/>
      <c r="Q307" s="1"/>
      <c r="R307" s="1"/>
    </row>
    <row r="308" spans="15:18" ht="12.75" customHeight="1" x14ac:dyDescent="0.2">
      <c r="O308" s="1"/>
      <c r="P308" s="1"/>
      <c r="Q308" s="1"/>
      <c r="R308" s="1"/>
    </row>
    <row r="309" spans="15:18" ht="12.75" customHeight="1" x14ac:dyDescent="0.2">
      <c r="O309" s="1"/>
      <c r="P309" s="1"/>
      <c r="Q309" s="1"/>
      <c r="R309" s="1"/>
    </row>
    <row r="310" spans="15:18" ht="12.75" customHeight="1" x14ac:dyDescent="0.2">
      <c r="O310" s="1"/>
      <c r="P310" s="1"/>
      <c r="Q310" s="1"/>
      <c r="R310" s="1"/>
    </row>
    <row r="311" spans="15:18" ht="12.75" customHeight="1" x14ac:dyDescent="0.2">
      <c r="O311" s="1"/>
      <c r="P311" s="1"/>
      <c r="Q311" s="1"/>
      <c r="R311" s="1"/>
    </row>
    <row r="312" spans="15:18" ht="12.75" customHeight="1" x14ac:dyDescent="0.2">
      <c r="O312" s="1"/>
      <c r="P312" s="1"/>
      <c r="Q312" s="1"/>
      <c r="R312" s="1"/>
    </row>
    <row r="313" spans="15:18" ht="12.75" customHeight="1" x14ac:dyDescent="0.2">
      <c r="O313" s="1"/>
      <c r="P313" s="1"/>
      <c r="Q313" s="1"/>
      <c r="R313" s="1"/>
    </row>
    <row r="314" spans="15:18" ht="12.75" customHeight="1" x14ac:dyDescent="0.2">
      <c r="O314" s="1"/>
      <c r="P314" s="1"/>
      <c r="Q314" s="1"/>
      <c r="R314" s="1"/>
    </row>
    <row r="315" spans="15:18" ht="12.75" customHeight="1" x14ac:dyDescent="0.2">
      <c r="O315" s="1"/>
      <c r="P315" s="1"/>
      <c r="Q315" s="1"/>
      <c r="R315" s="1"/>
    </row>
    <row r="316" spans="15:18" ht="12.75" customHeight="1" x14ac:dyDescent="0.2">
      <c r="O316" s="1"/>
      <c r="P316" s="1"/>
      <c r="Q316" s="1"/>
      <c r="R316" s="1"/>
    </row>
    <row r="317" spans="15:18" ht="12.75" customHeight="1" x14ac:dyDescent="0.2">
      <c r="O317" s="1"/>
      <c r="P317" s="1"/>
      <c r="Q317" s="1"/>
      <c r="R317" s="1"/>
    </row>
    <row r="318" spans="15:18" ht="12.75" customHeight="1" x14ac:dyDescent="0.2">
      <c r="O318" s="1"/>
      <c r="P318" s="1"/>
      <c r="Q318" s="1"/>
      <c r="R318" s="1"/>
    </row>
    <row r="319" spans="15:18" ht="12.75" customHeight="1" x14ac:dyDescent="0.2">
      <c r="O319" s="1"/>
      <c r="P319" s="1"/>
      <c r="Q319" s="1"/>
      <c r="R319" s="1"/>
    </row>
    <row r="320" spans="15:18" ht="12.75" customHeight="1" x14ac:dyDescent="0.2">
      <c r="O320" s="1"/>
      <c r="P320" s="1"/>
      <c r="Q320" s="1"/>
      <c r="R320" s="1"/>
    </row>
    <row r="321" spans="15:18" ht="12.75" customHeight="1" x14ac:dyDescent="0.2">
      <c r="O321" s="1"/>
      <c r="P321" s="1"/>
      <c r="Q321" s="1"/>
      <c r="R321" s="1"/>
    </row>
    <row r="322" spans="15:18" ht="12.75" customHeight="1" x14ac:dyDescent="0.2">
      <c r="O322" s="1"/>
      <c r="P322" s="1"/>
      <c r="Q322" s="1"/>
      <c r="R322" s="1"/>
    </row>
    <row r="323" spans="15:18" ht="12.75" customHeight="1" x14ac:dyDescent="0.2">
      <c r="O323" s="1"/>
      <c r="P323" s="1"/>
      <c r="Q323" s="1"/>
      <c r="R323" s="1"/>
    </row>
    <row r="324" spans="15:18" ht="12.75" customHeight="1" x14ac:dyDescent="0.2">
      <c r="O324" s="1"/>
      <c r="P324" s="1"/>
      <c r="Q324" s="1"/>
      <c r="R324" s="1"/>
    </row>
    <row r="325" spans="15:18" ht="12.75" customHeight="1" x14ac:dyDescent="0.2">
      <c r="O325" s="1"/>
      <c r="P325" s="1"/>
      <c r="Q325" s="1"/>
      <c r="R325" s="1"/>
    </row>
    <row r="326" spans="15:18" ht="12.75" customHeight="1" x14ac:dyDescent="0.2">
      <c r="O326" s="1"/>
      <c r="P326" s="1"/>
      <c r="Q326" s="1"/>
      <c r="R326" s="1"/>
    </row>
    <row r="327" spans="15:18" ht="12.75" customHeight="1" x14ac:dyDescent="0.2">
      <c r="O327" s="1"/>
      <c r="P327" s="1"/>
      <c r="Q327" s="1"/>
      <c r="R327" s="1"/>
    </row>
    <row r="328" spans="15:18" ht="12.75" customHeight="1" x14ac:dyDescent="0.2">
      <c r="O328" s="1"/>
      <c r="P328" s="1"/>
      <c r="Q328" s="1"/>
      <c r="R328" s="1"/>
    </row>
    <row r="329" spans="15:18" ht="12.75" customHeight="1" x14ac:dyDescent="0.2">
      <c r="O329" s="1"/>
      <c r="P329" s="1"/>
      <c r="Q329" s="1"/>
      <c r="R329" s="1"/>
    </row>
    <row r="330" spans="15:18" ht="12.75" customHeight="1" x14ac:dyDescent="0.2">
      <c r="O330" s="1"/>
      <c r="P330" s="1"/>
      <c r="Q330" s="1"/>
      <c r="R330" s="1"/>
    </row>
    <row r="331" spans="15:18" ht="12.75" customHeight="1" x14ac:dyDescent="0.2">
      <c r="O331" s="1"/>
      <c r="P331" s="1"/>
      <c r="Q331" s="1"/>
      <c r="R331" s="1"/>
    </row>
    <row r="332" spans="15:18" ht="12.75" customHeight="1" x14ac:dyDescent="0.2">
      <c r="O332" s="1"/>
      <c r="P332" s="1"/>
      <c r="Q332" s="1"/>
      <c r="R332" s="1"/>
    </row>
    <row r="333" spans="15:18" ht="12.75" customHeight="1" x14ac:dyDescent="0.2">
      <c r="O333" s="1"/>
      <c r="P333" s="1"/>
      <c r="Q333" s="1"/>
      <c r="R333" s="1"/>
    </row>
    <row r="334" spans="15:18" ht="12.75" customHeight="1" x14ac:dyDescent="0.2">
      <c r="O334" s="1"/>
      <c r="P334" s="1"/>
      <c r="Q334" s="1"/>
      <c r="R334" s="1"/>
    </row>
    <row r="335" spans="15:18" ht="12.75" customHeight="1" x14ac:dyDescent="0.2">
      <c r="O335" s="1"/>
      <c r="P335" s="1"/>
      <c r="Q335" s="1"/>
      <c r="R335" s="1"/>
    </row>
    <row r="336" spans="15:18" ht="12.75" customHeight="1" x14ac:dyDescent="0.2">
      <c r="O336" s="1"/>
      <c r="P336" s="1"/>
      <c r="Q336" s="1"/>
      <c r="R336" s="1"/>
    </row>
    <row r="337" spans="15:18" ht="12.75" customHeight="1" x14ac:dyDescent="0.2">
      <c r="O337" s="1"/>
      <c r="P337" s="1"/>
      <c r="Q337" s="1"/>
      <c r="R337" s="1"/>
    </row>
    <row r="338" spans="15:18" ht="12.75" customHeight="1" x14ac:dyDescent="0.2">
      <c r="O338" s="1"/>
      <c r="P338" s="1"/>
      <c r="Q338" s="1"/>
      <c r="R338" s="1"/>
    </row>
    <row r="339" spans="15:18" ht="12.75" customHeight="1" x14ac:dyDescent="0.2">
      <c r="O339" s="1"/>
      <c r="P339" s="1"/>
      <c r="Q339" s="1"/>
      <c r="R339" s="1"/>
    </row>
    <row r="340" spans="15:18" ht="12.75" customHeight="1" x14ac:dyDescent="0.2">
      <c r="O340" s="1"/>
      <c r="P340" s="1"/>
      <c r="Q340" s="1"/>
      <c r="R340" s="1"/>
    </row>
    <row r="341" spans="15:18" ht="12.75" customHeight="1" x14ac:dyDescent="0.2">
      <c r="O341" s="1"/>
      <c r="P341" s="1"/>
      <c r="Q341" s="1"/>
      <c r="R341" s="1"/>
    </row>
    <row r="342" spans="15:18" ht="12.75" customHeight="1" x14ac:dyDescent="0.2">
      <c r="O342" s="1"/>
      <c r="P342" s="1"/>
      <c r="Q342" s="1"/>
      <c r="R342" s="1"/>
    </row>
    <row r="343" spans="15:18" ht="12.75" customHeight="1" x14ac:dyDescent="0.2">
      <c r="O343" s="1"/>
      <c r="P343" s="1"/>
      <c r="Q343" s="1"/>
      <c r="R343" s="1"/>
    </row>
    <row r="344" spans="15:18" ht="12.75" customHeight="1" x14ac:dyDescent="0.2">
      <c r="O344" s="1"/>
      <c r="P344" s="1"/>
      <c r="Q344" s="1"/>
      <c r="R344" s="1"/>
    </row>
    <row r="345" spans="15:18" ht="12.75" customHeight="1" x14ac:dyDescent="0.2">
      <c r="O345" s="1"/>
      <c r="P345" s="1"/>
      <c r="Q345" s="1"/>
      <c r="R345" s="1"/>
    </row>
    <row r="346" spans="15:18" ht="12.75" customHeight="1" x14ac:dyDescent="0.2">
      <c r="O346" s="1"/>
      <c r="P346" s="1"/>
      <c r="Q346" s="1"/>
      <c r="R346" s="1"/>
    </row>
    <row r="347" spans="15:18" ht="12.75" customHeight="1" x14ac:dyDescent="0.2">
      <c r="O347" s="1"/>
      <c r="P347" s="1"/>
      <c r="Q347" s="1"/>
      <c r="R347" s="1"/>
    </row>
    <row r="348" spans="15:18" ht="12.75" customHeight="1" x14ac:dyDescent="0.2">
      <c r="O348" s="1"/>
      <c r="P348" s="1"/>
      <c r="Q348" s="1"/>
      <c r="R348" s="1"/>
    </row>
    <row r="349" spans="15:18" ht="12.75" customHeight="1" x14ac:dyDescent="0.2">
      <c r="O349" s="1"/>
      <c r="P349" s="1"/>
      <c r="Q349" s="1"/>
      <c r="R349" s="1"/>
    </row>
    <row r="350" spans="15:18" ht="12.75" customHeight="1" x14ac:dyDescent="0.2">
      <c r="O350" s="1"/>
      <c r="P350" s="1"/>
      <c r="Q350" s="1"/>
      <c r="R350" s="1"/>
    </row>
    <row r="351" spans="15:18" ht="12.75" customHeight="1" x14ac:dyDescent="0.2">
      <c r="O351" s="1"/>
      <c r="P351" s="1"/>
      <c r="Q351" s="1"/>
      <c r="R351" s="1"/>
    </row>
    <row r="352" spans="15:18" ht="12.75" customHeight="1" x14ac:dyDescent="0.2">
      <c r="P352" s="1"/>
      <c r="Q352" s="1"/>
      <c r="R352" s="1"/>
    </row>
    <row r="353" spans="16:18" ht="12.75" customHeight="1" x14ac:dyDescent="0.2">
      <c r="P353" s="1"/>
      <c r="Q353" s="1"/>
      <c r="R353" s="1"/>
    </row>
  </sheetData>
  <customSheetViews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9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4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1"/>
      <headerFooter alignWithMargins="0"/>
    </customSheetView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2"/>
      <headerFooter alignWithMargins="0"/>
    </customSheetView>
  </customSheetViews>
  <phoneticPr fontId="16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88" max="57" man="1"/>
    <brk id="100" max="57" man="1"/>
  </colBreaks>
  <customProperties>
    <customPr name="_pios_id" r:id="rId24"/>
    <customPr name="EpmWorksheetKeyString_GUID" r:id="rId25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N32" sqref="N32"/>
    </sheetView>
  </sheetViews>
  <sheetFormatPr defaultColWidth="9.1640625" defaultRowHeight="12.75" outlineLevelCol="1" x14ac:dyDescent="0.2"/>
  <cols>
    <col min="1" max="1" width="5.5" style="418" customWidth="1"/>
    <col min="2" max="2" width="51.33203125" style="418" customWidth="1"/>
    <col min="3" max="3" width="46.83203125" style="418" customWidth="1" outlineLevel="1"/>
    <col min="4" max="9" width="18.6640625" style="418" customWidth="1"/>
    <col min="10" max="10" width="3.6640625" style="418" bestFit="1" customWidth="1"/>
    <col min="11" max="11" width="9.1640625" style="418"/>
    <col min="12" max="12" width="17.5" style="418" bestFit="1" customWidth="1"/>
    <col min="13" max="16384" width="9.1640625" style="418"/>
  </cols>
  <sheetData>
    <row r="1" spans="1:12" ht="13.5" thickBot="1" x14ac:dyDescent="0.25">
      <c r="I1" s="465">
        <v>1.03</v>
      </c>
    </row>
    <row r="2" spans="1:12" x14ac:dyDescent="0.2">
      <c r="A2" s="451" t="s">
        <v>226</v>
      </c>
      <c r="B2" s="452"/>
      <c r="C2" s="452"/>
      <c r="D2" s="452"/>
      <c r="E2" s="452"/>
      <c r="F2" s="452"/>
      <c r="G2" s="452"/>
      <c r="H2" s="452"/>
      <c r="I2" s="452"/>
    </row>
    <row r="3" spans="1:12" x14ac:dyDescent="0.2">
      <c r="A3" s="451" t="s">
        <v>286</v>
      </c>
      <c r="B3" s="452"/>
      <c r="C3" s="452"/>
      <c r="D3" s="452"/>
      <c r="E3" s="452"/>
      <c r="F3" s="452"/>
      <c r="G3" s="452"/>
      <c r="H3" s="452"/>
      <c r="I3" s="452"/>
    </row>
    <row r="4" spans="1:12" x14ac:dyDescent="0.2">
      <c r="A4" s="451" t="s">
        <v>285</v>
      </c>
      <c r="B4" s="452"/>
      <c r="C4" s="452"/>
      <c r="D4" s="452"/>
      <c r="E4" s="452"/>
      <c r="F4" s="452"/>
      <c r="G4" s="452"/>
      <c r="H4" s="452"/>
      <c r="I4" s="452"/>
    </row>
    <row r="5" spans="1:12" x14ac:dyDescent="0.2">
      <c r="A5" s="451" t="str">
        <f>TESTYEAR</f>
        <v>FOR THE TWELVE MONTHS ENDED DECEMBER 31, 2020</v>
      </c>
      <c r="B5" s="452"/>
      <c r="C5" s="452"/>
      <c r="D5" s="452"/>
      <c r="E5" s="452"/>
      <c r="F5" s="452"/>
      <c r="G5" s="452"/>
      <c r="H5" s="452"/>
      <c r="I5" s="452"/>
    </row>
    <row r="6" spans="1:12" x14ac:dyDescent="0.2">
      <c r="B6" s="449"/>
      <c r="C6" s="449"/>
    </row>
    <row r="7" spans="1:12" x14ac:dyDescent="0.2">
      <c r="E7" s="448" t="s">
        <v>284</v>
      </c>
      <c r="F7" s="447"/>
      <c r="G7" s="447"/>
      <c r="H7" s="450"/>
      <c r="I7" s="282"/>
    </row>
    <row r="8" spans="1:12" ht="49.5" customHeight="1" thickBot="1" x14ac:dyDescent="0.25">
      <c r="A8" s="446" t="s">
        <v>283</v>
      </c>
      <c r="B8" s="445" t="s">
        <v>197</v>
      </c>
      <c r="C8" s="444" t="s">
        <v>282</v>
      </c>
      <c r="D8" s="443" t="s">
        <v>345</v>
      </c>
      <c r="E8" s="442" t="s">
        <v>281</v>
      </c>
      <c r="F8" s="441" t="s">
        <v>258</v>
      </c>
      <c r="G8" s="441" t="s">
        <v>280</v>
      </c>
      <c r="H8" s="441" t="s">
        <v>279</v>
      </c>
      <c r="I8" s="440" t="s">
        <v>346</v>
      </c>
    </row>
    <row r="9" spans="1:12" ht="16.5" customHeight="1" x14ac:dyDescent="0.2">
      <c r="A9" s="439">
        <v>1</v>
      </c>
      <c r="B9" s="438" t="s">
        <v>278</v>
      </c>
      <c r="C9" s="541" t="s">
        <v>272</v>
      </c>
      <c r="D9" s="435"/>
      <c r="E9" s="437">
        <f>-model!$CD$46</f>
        <v>0</v>
      </c>
      <c r="F9" s="437">
        <f>-model!$CI$46</f>
        <v>0</v>
      </c>
      <c r="G9" s="437">
        <f>-model!$CJ$46</f>
        <v>0</v>
      </c>
      <c r="H9" s="437">
        <f>-model!$CR$46</f>
        <v>0</v>
      </c>
      <c r="I9" s="437"/>
    </row>
    <row r="10" spans="1:12" x14ac:dyDescent="0.2">
      <c r="A10" s="425">
        <f t="shared" ref="A10:A20" si="0">+A9+1</f>
        <v>2</v>
      </c>
      <c r="B10" s="424" t="s">
        <v>277</v>
      </c>
      <c r="C10" s="514" t="s">
        <v>276</v>
      </c>
      <c r="D10" s="430">
        <f>+model!$DA$46</f>
        <v>2301107566.1432133</v>
      </c>
      <c r="E10" s="434">
        <f>+D10+E9</f>
        <v>2301107566.1432133</v>
      </c>
      <c r="F10" s="434">
        <f>+E10+F9</f>
        <v>2301107566.1432133</v>
      </c>
      <c r="G10" s="434">
        <f>+F10+G9</f>
        <v>2301107566.1432133</v>
      </c>
      <c r="H10" s="434">
        <f>+G10+H9</f>
        <v>2301107566.1432133</v>
      </c>
      <c r="I10" s="434">
        <f>+H10</f>
        <v>2301107566.1432133</v>
      </c>
    </row>
    <row r="11" spans="1:12" x14ac:dyDescent="0.2">
      <c r="A11" s="425">
        <f t="shared" si="0"/>
        <v>3</v>
      </c>
      <c r="B11" s="424" t="s">
        <v>319</v>
      </c>
      <c r="C11" s="514" t="s">
        <v>370</v>
      </c>
      <c r="D11" s="598">
        <f>(F37*9+I37*3)/12</f>
        <v>7.4649999999999994E-2</v>
      </c>
      <c r="E11" s="436">
        <f>+D11</f>
        <v>7.4649999999999994E-2</v>
      </c>
      <c r="F11" s="436">
        <f t="shared" ref="F11:I11" si="1">+E11</f>
        <v>7.4649999999999994E-2</v>
      </c>
      <c r="G11" s="436">
        <f t="shared" si="1"/>
        <v>7.4649999999999994E-2</v>
      </c>
      <c r="H11" s="436">
        <f t="shared" si="1"/>
        <v>7.4649999999999994E-2</v>
      </c>
      <c r="I11" s="436">
        <f t="shared" si="1"/>
        <v>7.4649999999999994E-2</v>
      </c>
    </row>
    <row r="12" spans="1:12" x14ac:dyDescent="0.2">
      <c r="A12" s="425">
        <f t="shared" si="0"/>
        <v>4</v>
      </c>
      <c r="B12" s="424" t="s">
        <v>275</v>
      </c>
      <c r="C12" s="514" t="s">
        <v>274</v>
      </c>
      <c r="D12" s="430">
        <f>ROUND(D10*D11,0)</f>
        <v>171777680</v>
      </c>
      <c r="E12" s="434">
        <f t="shared" ref="E12:I12" si="2">ROUND(E10*E11,0)</f>
        <v>171777680</v>
      </c>
      <c r="F12" s="434">
        <f t="shared" si="2"/>
        <v>171777680</v>
      </c>
      <c r="G12" s="434">
        <f t="shared" si="2"/>
        <v>171777680</v>
      </c>
      <c r="H12" s="434">
        <f t="shared" si="2"/>
        <v>171777680</v>
      </c>
      <c r="I12" s="434">
        <f t="shared" si="2"/>
        <v>171777680</v>
      </c>
    </row>
    <row r="13" spans="1:12" x14ac:dyDescent="0.2">
      <c r="A13" s="425">
        <f t="shared" si="0"/>
        <v>5</v>
      </c>
      <c r="B13" s="424" t="s">
        <v>273</v>
      </c>
      <c r="C13" s="514" t="s">
        <v>272</v>
      </c>
      <c r="D13" s="435"/>
      <c r="E13" s="434">
        <f>-model!$CD$44</f>
        <v>-50010.028092253473</v>
      </c>
      <c r="F13" s="434">
        <f>-model!$CI$44</f>
        <v>161380.80420999997</v>
      </c>
      <c r="G13" s="434">
        <f>-model!$CJ$44</f>
        <v>55031</v>
      </c>
      <c r="H13" s="434">
        <f>-model!$CR$44</f>
        <v>-184631.15422121563</v>
      </c>
      <c r="I13" s="434"/>
      <c r="J13" s="432"/>
    </row>
    <row r="14" spans="1:12" x14ac:dyDescent="0.2">
      <c r="A14" s="425">
        <f t="shared" si="0"/>
        <v>6</v>
      </c>
      <c r="B14" s="424" t="s">
        <v>271</v>
      </c>
      <c r="C14" s="514" t="s">
        <v>270</v>
      </c>
      <c r="D14" s="430">
        <f>+model!$DA$44</f>
        <v>146682587.0829891</v>
      </c>
      <c r="E14" s="434">
        <f>+D14+E13</f>
        <v>146632577.05489683</v>
      </c>
      <c r="F14" s="434">
        <f>+E14+F13</f>
        <v>146793957.85910684</v>
      </c>
      <c r="G14" s="434">
        <f>+F14+G13</f>
        <v>146848988.85910684</v>
      </c>
      <c r="H14" s="434">
        <f>+G14+H13</f>
        <v>146664357.70488563</v>
      </c>
      <c r="I14" s="434">
        <f>+H14</f>
        <v>146664357.70488563</v>
      </c>
      <c r="J14" s="433"/>
      <c r="K14" s="432"/>
      <c r="L14" s="513"/>
    </row>
    <row r="15" spans="1:12" x14ac:dyDescent="0.2">
      <c r="A15" s="425">
        <f t="shared" si="0"/>
        <v>7</v>
      </c>
      <c r="B15" s="424" t="s">
        <v>269</v>
      </c>
      <c r="C15" s="514" t="s">
        <v>268</v>
      </c>
      <c r="D15" s="426">
        <f t="shared" ref="D15:I15" si="3">ROUND(D14-D12,0)</f>
        <v>-25095093</v>
      </c>
      <c r="E15" s="461">
        <f t="shared" si="3"/>
        <v>-25145103</v>
      </c>
      <c r="F15" s="461">
        <f t="shared" si="3"/>
        <v>-24983722</v>
      </c>
      <c r="G15" s="461">
        <f t="shared" si="3"/>
        <v>-24928691</v>
      </c>
      <c r="H15" s="461">
        <f t="shared" si="3"/>
        <v>-25113322</v>
      </c>
      <c r="I15" s="431">
        <f t="shared" si="3"/>
        <v>-25113322</v>
      </c>
      <c r="L15" s="513"/>
    </row>
    <row r="16" spans="1:12" x14ac:dyDescent="0.2">
      <c r="A16" s="425">
        <f t="shared" si="0"/>
        <v>8</v>
      </c>
      <c r="B16" s="424" t="s">
        <v>267</v>
      </c>
      <c r="C16" s="514" t="s">
        <v>266</v>
      </c>
      <c r="D16" s="430">
        <f>IF(D15&lt;0,0,D15)</f>
        <v>0</v>
      </c>
      <c r="E16" s="434">
        <f>IF(E15&lt;0,0,E15)</f>
        <v>0</v>
      </c>
      <c r="F16" s="434">
        <f>IF(F15&lt;0,0,F15)</f>
        <v>0</v>
      </c>
      <c r="G16" s="434">
        <f>IF(G15&lt;0,0,G15)</f>
        <v>0</v>
      </c>
      <c r="H16" s="434">
        <f>IF(H15&lt;0,0,H15)</f>
        <v>0</v>
      </c>
      <c r="I16" s="464">
        <f t="shared" ref="I16" si="4">IF(I15&lt;0,0,I15)</f>
        <v>0</v>
      </c>
    </row>
    <row r="17" spans="1:9" x14ac:dyDescent="0.2">
      <c r="A17" s="425">
        <f t="shared" si="0"/>
        <v>9</v>
      </c>
      <c r="B17" s="424" t="s">
        <v>265</v>
      </c>
      <c r="C17" s="514" t="s">
        <v>347</v>
      </c>
      <c r="D17" s="429">
        <v>0.5</v>
      </c>
      <c r="E17" s="429">
        <v>0.5</v>
      </c>
      <c r="F17" s="429">
        <v>0.5</v>
      </c>
      <c r="G17" s="429">
        <v>0.5</v>
      </c>
      <c r="H17" s="429">
        <v>0.5</v>
      </c>
      <c r="I17" s="429">
        <v>0.5</v>
      </c>
    </row>
    <row r="18" spans="1:9" x14ac:dyDescent="0.2">
      <c r="A18" s="425">
        <f t="shared" si="0"/>
        <v>10</v>
      </c>
      <c r="B18" s="424" t="s">
        <v>264</v>
      </c>
      <c r="C18" s="514" t="s">
        <v>263</v>
      </c>
      <c r="D18" s="428">
        <f>ROUND(D16*D17,0)</f>
        <v>0</v>
      </c>
      <c r="E18" s="462">
        <f>ROUND(E16*E17,0)</f>
        <v>0</v>
      </c>
      <c r="F18" s="462">
        <f>ROUND(F16*F17,0)</f>
        <v>0</v>
      </c>
      <c r="G18" s="462">
        <f>ROUND(G16*G17,0)</f>
        <v>0</v>
      </c>
      <c r="H18" s="462">
        <f>ROUND(H16*H17,0)</f>
        <v>0</v>
      </c>
      <c r="I18" s="427">
        <f>+H18</f>
        <v>0</v>
      </c>
    </row>
    <row r="19" spans="1:9" x14ac:dyDescent="0.2">
      <c r="A19" s="425">
        <f t="shared" si="0"/>
        <v>11</v>
      </c>
      <c r="B19" s="424" t="s">
        <v>261</v>
      </c>
      <c r="C19" s="514" t="s">
        <v>370</v>
      </c>
      <c r="D19" s="599">
        <f>(+F54*9+I54*3)/12</f>
        <v>0.75408799999999998</v>
      </c>
      <c r="E19" s="600">
        <f>+D19</f>
        <v>0.75408799999999998</v>
      </c>
      <c r="F19" s="600">
        <f t="shared" ref="F19:I19" si="5">+E19</f>
        <v>0.75408799999999998</v>
      </c>
      <c r="G19" s="600">
        <f t="shared" si="5"/>
        <v>0.75408799999999998</v>
      </c>
      <c r="H19" s="600">
        <f t="shared" si="5"/>
        <v>0.75408799999999998</v>
      </c>
      <c r="I19" s="600">
        <f t="shared" si="5"/>
        <v>0.75408799999999998</v>
      </c>
    </row>
    <row r="20" spans="1:9" x14ac:dyDescent="0.2">
      <c r="A20" s="423">
        <f t="shared" si="0"/>
        <v>12</v>
      </c>
      <c r="B20" s="422" t="s">
        <v>318</v>
      </c>
      <c r="C20" s="421" t="s">
        <v>262</v>
      </c>
      <c r="D20" s="420">
        <f>ROUND(+D18/D19,0)</f>
        <v>0</v>
      </c>
      <c r="E20" s="463">
        <f>+ROUND((E18-D18)/E19,0)</f>
        <v>0</v>
      </c>
      <c r="F20" s="463">
        <f t="shared" ref="F20:H20" si="6">+ROUND((F18-E18)/F19,0)</f>
        <v>0</v>
      </c>
      <c r="G20" s="463">
        <f t="shared" si="6"/>
        <v>0</v>
      </c>
      <c r="H20" s="463">
        <f t="shared" si="6"/>
        <v>0</v>
      </c>
      <c r="I20" s="419">
        <f>ROUND(+I18/I19,0)</f>
        <v>0</v>
      </c>
    </row>
    <row r="22" spans="1:9" x14ac:dyDescent="0.2">
      <c r="D22" s="490">
        <f>D14/D10</f>
        <v>6.3744341742718882E-2</v>
      </c>
      <c r="E22" s="490">
        <f>E14/E10-D22</f>
        <v>-2.173302492593232E-5</v>
      </c>
      <c r="F22" s="490">
        <f>F14/F10-SUM($D$22:E22)</f>
        <v>7.0131795047057022E-5</v>
      </c>
      <c r="G22" s="490">
        <f>G14/G10-SUM($D$22:F22)</f>
        <v>2.3915005456370819E-5</v>
      </c>
      <c r="H22" s="490">
        <f>H14/H10-SUM($D$22:G22)</f>
        <v>-8.0235777300347033E-5</v>
      </c>
      <c r="I22" s="490">
        <f>I14/I10</f>
        <v>6.3736419740996031E-2</v>
      </c>
    </row>
    <row r="23" spans="1:9" x14ac:dyDescent="0.2">
      <c r="H23" s="491" t="s">
        <v>314</v>
      </c>
      <c r="I23" s="492">
        <f>SUM(D22:H22)-I22</f>
        <v>0</v>
      </c>
    </row>
    <row r="27" spans="1:9" x14ac:dyDescent="0.2">
      <c r="C27" s="542" t="s">
        <v>348</v>
      </c>
      <c r="D27" s="543"/>
      <c r="E27" s="543"/>
      <c r="F27" s="543" t="s">
        <v>349</v>
      </c>
      <c r="G27" s="543"/>
      <c r="H27" s="543"/>
      <c r="I27" s="544" t="s">
        <v>350</v>
      </c>
    </row>
    <row r="28" spans="1:9" ht="24" x14ac:dyDescent="0.2">
      <c r="C28" s="545"/>
      <c r="D28" s="546"/>
      <c r="E28" s="546"/>
      <c r="F28" s="546" t="s">
        <v>351</v>
      </c>
      <c r="G28" s="546"/>
      <c r="H28" s="546"/>
      <c r="I28" s="547" t="s">
        <v>352</v>
      </c>
    </row>
    <row r="29" spans="1:9" x14ac:dyDescent="0.2">
      <c r="C29" s="548" t="s">
        <v>353</v>
      </c>
      <c r="D29" s="549"/>
      <c r="E29" s="549"/>
      <c r="F29" s="550">
        <v>43525</v>
      </c>
      <c r="G29" s="549"/>
      <c r="H29" s="549"/>
      <c r="I29" s="551">
        <v>44105</v>
      </c>
    </row>
    <row r="30" spans="1:9" x14ac:dyDescent="0.2">
      <c r="C30" s="552" t="s">
        <v>354</v>
      </c>
      <c r="D30" s="553"/>
      <c r="E30" s="553"/>
      <c r="F30" s="554">
        <v>43281</v>
      </c>
      <c r="G30" s="553"/>
      <c r="H30" s="553"/>
      <c r="I30" s="555">
        <v>43465</v>
      </c>
    </row>
    <row r="31" spans="1:9" ht="13.5" thickBot="1" x14ac:dyDescent="0.25">
      <c r="C31" s="556" t="s">
        <v>355</v>
      </c>
      <c r="D31" s="553"/>
      <c r="E31" s="553"/>
      <c r="F31" s="554">
        <v>43525</v>
      </c>
      <c r="G31" s="553"/>
      <c r="H31" s="553"/>
      <c r="I31" s="555">
        <v>43952</v>
      </c>
    </row>
    <row r="32" spans="1:9" x14ac:dyDescent="0.2">
      <c r="C32" s="548"/>
      <c r="D32" s="557" t="s">
        <v>356</v>
      </c>
      <c r="E32" s="558" t="s">
        <v>357</v>
      </c>
      <c r="F32" s="559" t="s">
        <v>358</v>
      </c>
      <c r="G32" s="557" t="s">
        <v>356</v>
      </c>
      <c r="H32" s="558" t="s">
        <v>357</v>
      </c>
      <c r="I32" s="560" t="s">
        <v>358</v>
      </c>
    </row>
    <row r="33" spans="3:9" x14ac:dyDescent="0.2">
      <c r="C33" s="561" t="s">
        <v>359</v>
      </c>
      <c r="D33" s="562"/>
      <c r="E33" s="563"/>
      <c r="F33" s="564"/>
      <c r="G33" s="562"/>
      <c r="H33" s="563"/>
      <c r="I33" s="565"/>
    </row>
    <row r="34" spans="3:9" x14ac:dyDescent="0.2">
      <c r="C34" s="561" t="s">
        <v>360</v>
      </c>
      <c r="D34" s="562">
        <v>0.51500000000000001</v>
      </c>
      <c r="E34" s="563">
        <v>5.5922330097087379E-2</v>
      </c>
      <c r="F34" s="564">
        <v>2.8799999999999999E-2</v>
      </c>
      <c r="G34" s="562">
        <v>0.51500000000000001</v>
      </c>
      <c r="H34" s="563">
        <v>5.4951456310679617E-2</v>
      </c>
      <c r="I34" s="565">
        <v>2.8299999999999999E-2</v>
      </c>
    </row>
    <row r="35" spans="3:9" x14ac:dyDescent="0.2">
      <c r="C35" s="561" t="s">
        <v>361</v>
      </c>
      <c r="D35" s="562">
        <v>0</v>
      </c>
      <c r="E35" s="563">
        <v>0</v>
      </c>
      <c r="F35" s="564">
        <v>0</v>
      </c>
      <c r="G35" s="562">
        <v>0</v>
      </c>
      <c r="H35" s="563">
        <v>0</v>
      </c>
      <c r="I35" s="565">
        <v>0</v>
      </c>
    </row>
    <row r="36" spans="3:9" x14ac:dyDescent="0.2">
      <c r="C36" s="561" t="s">
        <v>362</v>
      </c>
      <c r="D36" s="566">
        <v>0.48499999999999999</v>
      </c>
      <c r="E36" s="567">
        <v>9.5000000000000001E-2</v>
      </c>
      <c r="F36" s="568">
        <v>4.6100000000000002E-2</v>
      </c>
      <c r="G36" s="566">
        <v>0.48499999999999999</v>
      </c>
      <c r="H36" s="567">
        <v>9.4E-2</v>
      </c>
      <c r="I36" s="569">
        <v>4.5600000000000002E-2</v>
      </c>
    </row>
    <row r="37" spans="3:9" x14ac:dyDescent="0.2">
      <c r="C37" s="561" t="s">
        <v>32</v>
      </c>
      <c r="D37" s="562">
        <v>1</v>
      </c>
      <c r="E37" s="563"/>
      <c r="F37" s="570">
        <v>7.4899999999999994E-2</v>
      </c>
      <c r="G37" s="562">
        <v>1</v>
      </c>
      <c r="H37" s="563"/>
      <c r="I37" s="571">
        <v>7.3899999999999993E-2</v>
      </c>
    </row>
    <row r="38" spans="3:9" x14ac:dyDescent="0.2">
      <c r="C38" s="561"/>
      <c r="D38" s="572"/>
      <c r="E38" s="573"/>
      <c r="F38" s="574"/>
      <c r="G38" s="572"/>
      <c r="H38" s="573"/>
      <c r="I38" s="575"/>
    </row>
    <row r="39" spans="3:9" x14ac:dyDescent="0.2">
      <c r="C39" s="561" t="s">
        <v>363</v>
      </c>
      <c r="D39" s="562">
        <v>0</v>
      </c>
      <c r="E39" s="563">
        <v>0</v>
      </c>
      <c r="F39" s="564">
        <v>0</v>
      </c>
      <c r="G39" s="562">
        <v>0</v>
      </c>
      <c r="H39" s="563">
        <v>0</v>
      </c>
      <c r="I39" s="565">
        <v>0</v>
      </c>
    </row>
    <row r="40" spans="3:9" x14ac:dyDescent="0.2">
      <c r="C40" s="561" t="s">
        <v>364</v>
      </c>
      <c r="D40" s="562">
        <v>0.51500000000000001</v>
      </c>
      <c r="E40" s="563">
        <v>4.417864077669903E-2</v>
      </c>
      <c r="F40" s="564">
        <v>2.2800000000000001E-2</v>
      </c>
      <c r="G40" s="562">
        <v>0.51500000000000001</v>
      </c>
      <c r="H40" s="563">
        <v>4.3411650485436902E-2</v>
      </c>
      <c r="I40" s="565">
        <v>2.24E-2</v>
      </c>
    </row>
    <row r="41" spans="3:9" x14ac:dyDescent="0.2">
      <c r="C41" s="561" t="s">
        <v>361</v>
      </c>
      <c r="D41" s="562">
        <v>0</v>
      </c>
      <c r="E41" s="563">
        <v>0</v>
      </c>
      <c r="F41" s="564">
        <v>0</v>
      </c>
      <c r="G41" s="562">
        <v>0</v>
      </c>
      <c r="H41" s="563">
        <v>0</v>
      </c>
      <c r="I41" s="565">
        <v>0</v>
      </c>
    </row>
    <row r="42" spans="3:9" x14ac:dyDescent="0.2">
      <c r="C42" s="561" t="s">
        <v>362</v>
      </c>
      <c r="D42" s="562">
        <v>0.48499999999999999</v>
      </c>
      <c r="E42" s="576">
        <v>9.5000000000000001E-2</v>
      </c>
      <c r="F42" s="564">
        <v>4.6100000000000002E-2</v>
      </c>
      <c r="G42" s="562">
        <v>0.48499999999999999</v>
      </c>
      <c r="H42" s="576">
        <v>9.4E-2</v>
      </c>
      <c r="I42" s="565">
        <v>4.5600000000000002E-2</v>
      </c>
    </row>
    <row r="43" spans="3:9" ht="13.5" thickBot="1" x14ac:dyDescent="0.25">
      <c r="C43" s="561" t="s">
        <v>365</v>
      </c>
      <c r="D43" s="577">
        <v>1</v>
      </c>
      <c r="E43" s="578"/>
      <c r="F43" s="579">
        <v>6.8900000000000003E-2</v>
      </c>
      <c r="G43" s="577">
        <v>1</v>
      </c>
      <c r="H43" s="578"/>
      <c r="I43" s="580">
        <v>6.8000000000000005E-2</v>
      </c>
    </row>
    <row r="44" spans="3:9" x14ac:dyDescent="0.2">
      <c r="C44" s="548"/>
      <c r="D44" s="573"/>
      <c r="E44" s="573"/>
      <c r="F44" s="573"/>
      <c r="G44" s="573"/>
      <c r="H44" s="573"/>
      <c r="I44" s="575"/>
    </row>
    <row r="45" spans="3:9" x14ac:dyDescent="0.2">
      <c r="C45" s="581" t="s">
        <v>366</v>
      </c>
      <c r="D45" s="573"/>
      <c r="E45" s="573"/>
      <c r="F45" s="573"/>
      <c r="G45" s="573"/>
      <c r="H45" s="573"/>
      <c r="I45" s="575"/>
    </row>
    <row r="46" spans="3:9" x14ac:dyDescent="0.2">
      <c r="C46" s="582" t="s">
        <v>84</v>
      </c>
      <c r="D46" s="573"/>
      <c r="E46" s="583"/>
      <c r="F46" s="584">
        <v>5.1399999999999996E-3</v>
      </c>
      <c r="G46" s="573"/>
      <c r="H46" s="583"/>
      <c r="I46" s="585">
        <v>5.1240000000000001E-3</v>
      </c>
    </row>
    <row r="47" spans="3:9" x14ac:dyDescent="0.2">
      <c r="C47" s="582" t="s">
        <v>158</v>
      </c>
      <c r="D47" s="573"/>
      <c r="E47" s="583"/>
      <c r="F47" s="584">
        <v>2E-3</v>
      </c>
      <c r="G47" s="573"/>
      <c r="H47" s="583"/>
      <c r="I47" s="585">
        <v>2E-3</v>
      </c>
    </row>
    <row r="48" spans="3:9" x14ac:dyDescent="0.2">
      <c r="C48" s="582" t="s">
        <v>367</v>
      </c>
      <c r="D48" s="573"/>
      <c r="E48" s="586">
        <v>3.8519999999999999E-2</v>
      </c>
      <c r="F48" s="587">
        <v>3.8322000000000002E-2</v>
      </c>
      <c r="G48" s="573"/>
      <c r="H48" s="586">
        <v>3.8519999999999999E-2</v>
      </c>
      <c r="I48" s="588">
        <v>3.8323000000000003E-2</v>
      </c>
    </row>
    <row r="49" spans="3:9" x14ac:dyDescent="0.2">
      <c r="C49" s="582"/>
      <c r="D49" s="573"/>
      <c r="E49" s="583"/>
      <c r="F49" s="584"/>
      <c r="G49" s="573"/>
      <c r="H49" s="583"/>
      <c r="I49" s="585"/>
    </row>
    <row r="50" spans="3:9" x14ac:dyDescent="0.2">
      <c r="C50" s="582" t="s">
        <v>167</v>
      </c>
      <c r="D50" s="573"/>
      <c r="E50" s="583"/>
      <c r="F50" s="584">
        <v>4.5462000000000002E-2</v>
      </c>
      <c r="G50" s="573"/>
      <c r="H50" s="583"/>
      <c r="I50" s="585">
        <v>4.5447000000000001E-2</v>
      </c>
    </row>
    <row r="51" spans="3:9" x14ac:dyDescent="0.2">
      <c r="C51" s="561"/>
      <c r="D51" s="573"/>
      <c r="E51" s="583"/>
      <c r="F51" s="584"/>
      <c r="G51" s="573"/>
      <c r="H51" s="583"/>
      <c r="I51" s="585"/>
    </row>
    <row r="52" spans="3:9" x14ac:dyDescent="0.2">
      <c r="C52" s="561" t="s">
        <v>368</v>
      </c>
      <c r="D52" s="589"/>
      <c r="E52" s="590"/>
      <c r="F52" s="591">
        <v>0.954538</v>
      </c>
      <c r="G52" s="589"/>
      <c r="H52" s="590"/>
      <c r="I52" s="592">
        <v>0.95455299999999998</v>
      </c>
    </row>
    <row r="53" spans="3:9" x14ac:dyDescent="0.2">
      <c r="C53" s="582" t="s">
        <v>58</v>
      </c>
      <c r="D53" s="573"/>
      <c r="E53" s="593">
        <v>0.21</v>
      </c>
      <c r="F53" s="584">
        <v>0.20045299999999999</v>
      </c>
      <c r="G53" s="573"/>
      <c r="H53" s="593">
        <v>0.21</v>
      </c>
      <c r="I53" s="585">
        <v>0.200456</v>
      </c>
    </row>
    <row r="54" spans="3:9" x14ac:dyDescent="0.2">
      <c r="C54" s="594" t="s">
        <v>369</v>
      </c>
      <c r="D54" s="595"/>
      <c r="E54" s="596"/>
      <c r="F54" s="597">
        <v>0.75408500000000001</v>
      </c>
      <c r="G54" s="595"/>
      <c r="H54" s="596"/>
      <c r="I54" s="597">
        <v>0.75409700000000002</v>
      </c>
    </row>
  </sheetData>
  <pageMargins left="0.7" right="0.7" top="0.75" bottom="0.75" header="0.3" footer="0.3"/>
  <pageSetup scale="91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CA7D10-97B0-4063-88E4-07FFB5B90C8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506B733-24DA-408C-BB22-5FA4272FC13A}"/>
</file>

<file path=customXml/itemProps3.xml><?xml version="1.0" encoding="utf-8"?>
<ds:datastoreItem xmlns:ds="http://schemas.openxmlformats.org/officeDocument/2006/customXml" ds:itemID="{035D45AC-AD6E-4C63-8867-250FFAAD862B}"/>
</file>

<file path=customXml/itemProps4.xml><?xml version="1.0" encoding="utf-8"?>
<ds:datastoreItem xmlns:ds="http://schemas.openxmlformats.org/officeDocument/2006/customXml" ds:itemID="{014FEA48-0A93-499C-B5F7-1518C5716C94}"/>
</file>

<file path=customXml/itemProps5.xml><?xml version="1.0" encoding="utf-8"?>
<ds:datastoreItem xmlns:ds="http://schemas.openxmlformats.org/officeDocument/2006/customXml" ds:itemID="{6262BBD8-30EF-41CA-A7E7-0D715474E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40</vt:i4>
      </vt:variant>
    </vt:vector>
  </HeadingPairs>
  <TitlesOfParts>
    <vt:vector size="44" baseType="lpstr">
      <vt:lpstr>1.01 ROR ROE</vt:lpstr>
      <vt:lpstr>1.02 COC</vt:lpstr>
      <vt:lpstr>model</vt:lpstr>
      <vt:lpstr>Earnings Sharing-CBR to Adj CBR</vt:lpstr>
      <vt:lpstr>_3.01_TempNorm</vt:lpstr>
      <vt:lpstr>_3.02_RevExp</vt:lpstr>
      <vt:lpstr>_3.03_FIT</vt:lpstr>
      <vt:lpstr>_3.04_TBoRI</vt:lpstr>
      <vt:lpstr>_3.05_PassThru</vt:lpstr>
      <vt:lpstr>_3.06_RateCaseExp</vt:lpstr>
      <vt:lpstr>_3.07_BadDebt</vt:lpstr>
      <vt:lpstr>_3.08_Incentives</vt:lpstr>
      <vt:lpstr>_3.09_ExciseTax</vt:lpstr>
      <vt:lpstr>_3.10_DandO</vt:lpstr>
      <vt:lpstr>_3.11_IntOnCustD</vt:lpstr>
      <vt:lpstr>_3.12_Pension</vt:lpstr>
      <vt:lpstr>_3.13_InjAndDam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'Earnings Sharing-CBR to Adj CBR'!Print_Area</vt:lpstr>
      <vt:lpstr>model!Print_Area</vt:lpstr>
      <vt:lpstr>PSPL</vt:lpstr>
      <vt:lpstr>RESULTS_OF_OPERATIONS</vt:lpstr>
      <vt:lpstr>STATE_UTILITY_TAX</vt:lpstr>
      <vt:lpstr>SUMMARY</vt:lpstr>
      <vt:lpstr>TESTYEAR</vt:lpstr>
      <vt:lpstr>UTG</vt:lpstr>
      <vt:lpstr>model!Z_1E45DDAB_A557_4269_B1F7_CCA75743796E_.wvu.PrintArea</vt:lpstr>
      <vt:lpstr>model!Z_31DFCE0A_9DA6_4A87_B609_465F85B537E0_.wvu.PrintArea</vt:lpstr>
      <vt:lpstr>model!Z_363BCC7B_365C_4862_8308_FD01127C4AC4_.wvu.PrintArea</vt:lpstr>
      <vt:lpstr>model!Z_3CBED636_2D45_404E_AAC8_3EE8AD1E87DC_.wvu.PrintArea</vt:lpstr>
      <vt:lpstr>model!Z_5528C217_5C85_409E_BEF2_118EFA30D59F_.wvu.PrintArea</vt:lpstr>
      <vt:lpstr>model!Z_6734E4FA_60B7_471C_AEFF_A65F9BB053D8_.wvu.PrintArea</vt:lpstr>
      <vt:lpstr>model!Z_70410578_0BAB_407F_B45A_A1FD00E78914_.wvu.PrintArea</vt:lpstr>
      <vt:lpstr>model!Z_833E8250_6973_4555_A9B1_5ACEC89F3481_.wvu.PrintArea</vt:lpstr>
      <vt:lpstr>model!Z_9180F71E_9CF3_48FD_9127_9BC9888EC40C_.wvu.PrintArea</vt:lpstr>
      <vt:lpstr>model!Z_DF51FD8A_8BA9_46B7_B455_DFD0D532E42D_.wvu.PrintArea</vt:lpstr>
      <vt:lpstr>model!Z_F0C9B202_A28C_4D84_9483_9F8FC93D796D_.wvu.PrintArea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NC</cp:lastModifiedBy>
  <cp:lastPrinted>2018-03-21T23:27:54Z</cp:lastPrinted>
  <dcterms:created xsi:type="dcterms:W3CDTF">1997-10-13T22:59:17Z</dcterms:created>
  <dcterms:modified xsi:type="dcterms:W3CDTF">2021-03-25T18:52:25Z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ontentTypeId">
    <vt:lpwstr>0x0101006E56B4D1795A2E4DB2F0B01679ED314A008DFF8D097FB7A64492EACC09E6306B85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