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6570" yWindow="1410" windowWidth="17235" windowHeight="7995" tabRatio="879" activeTab="2"/>
  </bookViews>
  <sheets>
    <sheet name="Page 1" sheetId="6" r:id="rId1"/>
    <sheet name="Page 2-4" sheetId="7" r:id="rId2"/>
    <sheet name="Page 5-9" sheetId="8" r:id="rId3"/>
    <sheet name="Sheet1" sheetId="9" r:id="rId4"/>
  </sheets>
  <definedNames>
    <definedName name="_xlnm.Print_Area" localSheetId="0">'Page 1'!$A$1:$I$36</definedName>
    <definedName name="_xlnm.Print_Area" localSheetId="1">'Page 2-4'!$A$1:$F$129</definedName>
    <definedName name="_xlnm.Print_Area" localSheetId="2">'Page 5-9'!$A$1:$J$226</definedName>
  </definedNames>
  <calcPr calcId="125725"/>
</workbook>
</file>

<file path=xl/calcChain.xml><?xml version="1.0" encoding="utf-8"?>
<calcChain xmlns="http://schemas.openxmlformats.org/spreadsheetml/2006/main">
  <c r="W27" i="8"/>
  <c r="W28"/>
  <c r="W29"/>
  <c r="W30"/>
  <c r="W31"/>
  <c r="W32"/>
  <c r="W33"/>
  <c r="W34"/>
  <c r="W35"/>
  <c r="W36"/>
  <c r="W37"/>
  <c r="W26"/>
  <c r="W6"/>
  <c r="W7"/>
  <c r="W8"/>
  <c r="W9"/>
  <c r="W10"/>
  <c r="W11"/>
  <c r="W12"/>
  <c r="W13"/>
  <c r="W14"/>
  <c r="W15"/>
  <c r="W16"/>
  <c r="W5"/>
  <c r="T39" l="1"/>
  <c r="T18"/>
  <c r="T19" s="1"/>
  <c r="L104" i="7"/>
  <c r="D112"/>
  <c r="D86"/>
  <c r="T41" i="8" l="1"/>
  <c r="W39"/>
  <c r="W41" s="1"/>
  <c r="W18"/>
  <c r="W19" s="1"/>
  <c r="E219"/>
  <c r="E218"/>
  <c r="E174"/>
  <c r="E173"/>
  <c r="E128"/>
  <c r="E127"/>
  <c r="D129" i="7"/>
  <c r="L130" s="1"/>
  <c r="L131" s="1"/>
  <c r="D103"/>
  <c r="L105" s="1"/>
  <c r="L79"/>
  <c r="L80" s="1"/>
  <c r="L53"/>
  <c r="D20" i="6"/>
  <c r="E20"/>
  <c r="F20"/>
  <c r="G20"/>
  <c r="C20"/>
  <c r="D18"/>
  <c r="E18"/>
  <c r="F18"/>
  <c r="G18"/>
  <c r="C18"/>
  <c r="G26"/>
  <c r="G35" s="1"/>
  <c r="G21" s="1"/>
  <c r="F26"/>
  <c r="F35" s="1"/>
  <c r="F21" s="1"/>
  <c r="E26"/>
  <c r="E35" s="1"/>
  <c r="E21" s="1"/>
  <c r="G25"/>
  <c r="G30" s="1"/>
  <c r="G19" s="1"/>
  <c r="F25"/>
  <c r="F30" s="1"/>
  <c r="F19" s="1"/>
  <c r="E25"/>
  <c r="E30" s="1"/>
  <c r="E19" s="1"/>
  <c r="G5"/>
  <c r="F5"/>
  <c r="G6" l="1"/>
  <c r="E31"/>
  <c r="F31"/>
  <c r="G31"/>
  <c r="E36"/>
  <c r="F36"/>
  <c r="G36"/>
  <c r="F22"/>
  <c r="F14" s="1"/>
  <c r="F15" s="1"/>
  <c r="F7" s="1"/>
  <c r="G22"/>
  <c r="G14" s="1"/>
  <c r="G15" s="1"/>
  <c r="G7" s="1"/>
  <c r="I59"/>
  <c r="I58"/>
  <c r="I57"/>
  <c r="I56"/>
  <c r="E51"/>
  <c r="D51"/>
  <c r="C51"/>
  <c r="E49"/>
  <c r="D49"/>
  <c r="C49"/>
  <c r="D26"/>
  <c r="D35" s="1"/>
  <c r="D36" s="1"/>
  <c r="D25"/>
  <c r="D30" s="1"/>
  <c r="D31" s="1"/>
  <c r="C26"/>
  <c r="C35" s="1"/>
  <c r="C36" s="1"/>
  <c r="C25"/>
  <c r="C30" s="1"/>
  <c r="C31" s="1"/>
  <c r="C52" l="1"/>
  <c r="E52"/>
  <c r="C21"/>
  <c r="G8"/>
  <c r="D111" i="7" s="1"/>
  <c r="F6" i="6"/>
  <c r="F8" s="1"/>
  <c r="D85" i="7" s="1"/>
  <c r="D19" i="6"/>
  <c r="D21"/>
  <c r="C19"/>
  <c r="D52"/>
  <c r="I60"/>
  <c r="E95" i="7" l="1"/>
  <c r="E101"/>
  <c r="E92"/>
  <c r="E94"/>
  <c r="E96"/>
  <c r="E98"/>
  <c r="E100"/>
  <c r="E102"/>
  <c r="E93"/>
  <c r="E97"/>
  <c r="E99"/>
  <c r="E91"/>
  <c r="D88"/>
  <c r="E171" i="8" s="1"/>
  <c r="E176" s="1"/>
  <c r="D87" i="7"/>
  <c r="E119"/>
  <c r="E125"/>
  <c r="E117"/>
  <c r="E118"/>
  <c r="E120"/>
  <c r="E122"/>
  <c r="E124"/>
  <c r="E126"/>
  <c r="E128"/>
  <c r="E121"/>
  <c r="E123"/>
  <c r="E127"/>
  <c r="D114"/>
  <c r="E216" i="8" s="1"/>
  <c r="E221" s="1"/>
  <c r="D113" i="7"/>
  <c r="C6" i="6"/>
  <c r="L27" i="7"/>
  <c r="C121" l="1"/>
  <c r="H203" i="8" s="1"/>
  <c r="H210" s="1"/>
  <c r="C127" i="7"/>
  <c r="H189" i="8" s="1"/>
  <c r="H196" s="1"/>
  <c r="E217"/>
  <c r="E223" s="1"/>
  <c r="C118" i="7"/>
  <c r="E203" i="8" s="1"/>
  <c r="E210" s="1"/>
  <c r="C120" i="7"/>
  <c r="G203" i="8" s="1"/>
  <c r="G210" s="1"/>
  <c r="C122" i="7"/>
  <c r="I203" i="8" s="1"/>
  <c r="I210" s="1"/>
  <c r="C124" i="7"/>
  <c r="E189" i="8" s="1"/>
  <c r="E196" s="1"/>
  <c r="C126" i="7"/>
  <c r="G189" i="8" s="1"/>
  <c r="G196" s="1"/>
  <c r="C128" i="7"/>
  <c r="I189" i="8" s="1"/>
  <c r="I196" s="1"/>
  <c r="C119" i="7"/>
  <c r="F203" i="8" s="1"/>
  <c r="F210" s="1"/>
  <c r="C123" i="7"/>
  <c r="D189" i="8" s="1"/>
  <c r="D196" s="1"/>
  <c r="C125" i="7"/>
  <c r="F189" i="8" s="1"/>
  <c r="F196" s="1"/>
  <c r="C117" i="7"/>
  <c r="H188" i="8"/>
  <c r="H194" s="1"/>
  <c r="H198" s="1"/>
  <c r="F127" i="7"/>
  <c r="H202" i="8"/>
  <c r="H208" s="1"/>
  <c r="F121" i="7"/>
  <c r="G188" i="8"/>
  <c r="G194" s="1"/>
  <c r="G198" s="1"/>
  <c r="F126" i="7"/>
  <c r="I202" i="8"/>
  <c r="I208" s="1"/>
  <c r="I212" s="1"/>
  <c r="F122" i="7"/>
  <c r="E202" i="8"/>
  <c r="E208" s="1"/>
  <c r="E212" s="1"/>
  <c r="F118" i="7"/>
  <c r="F188" i="8"/>
  <c r="F194" s="1"/>
  <c r="F198" s="1"/>
  <c r="F125" i="7"/>
  <c r="C95"/>
  <c r="H158" i="8" s="1"/>
  <c r="H165" s="1"/>
  <c r="C97" i="7"/>
  <c r="D144" i="8" s="1"/>
  <c r="D151" s="1"/>
  <c r="C101" i="7"/>
  <c r="H144" i="8" s="1"/>
  <c r="H151" s="1"/>
  <c r="E172"/>
  <c r="E178" s="1"/>
  <c r="E180" s="1"/>
  <c r="C92" i="7"/>
  <c r="E158" i="8" s="1"/>
  <c r="E165" s="1"/>
  <c r="C94" i="7"/>
  <c r="G158" i="8" s="1"/>
  <c r="G165" s="1"/>
  <c r="C96" i="7"/>
  <c r="I158" i="8" s="1"/>
  <c r="I165" s="1"/>
  <c r="C98" i="7"/>
  <c r="E144" i="8" s="1"/>
  <c r="E151" s="1"/>
  <c r="C100" i="7"/>
  <c r="G144" i="8" s="1"/>
  <c r="G151" s="1"/>
  <c r="C102" i="7"/>
  <c r="I144" i="8" s="1"/>
  <c r="I151" s="1"/>
  <c r="C93" i="7"/>
  <c r="F158" i="8" s="1"/>
  <c r="F165" s="1"/>
  <c r="C99" i="7"/>
  <c r="F144" i="8" s="1"/>
  <c r="F151" s="1"/>
  <c r="C91" i="7"/>
  <c r="D157" i="8"/>
  <c r="D163" s="1"/>
  <c r="F91" i="7"/>
  <c r="D143" i="8"/>
  <c r="D149" s="1"/>
  <c r="D153" s="1"/>
  <c r="F97" i="7"/>
  <c r="I143" i="8"/>
  <c r="I149" s="1"/>
  <c r="I153" s="1"/>
  <c r="F102" i="7"/>
  <c r="E143" i="8"/>
  <c r="E149" s="1"/>
  <c r="E153" s="1"/>
  <c r="F98" i="7"/>
  <c r="G157" i="8"/>
  <c r="G163" s="1"/>
  <c r="G167" s="1"/>
  <c r="F94" i="7"/>
  <c r="H143" i="8"/>
  <c r="H149" s="1"/>
  <c r="F101" i="7"/>
  <c r="D188" i="8"/>
  <c r="D194" s="1"/>
  <c r="D198" s="1"/>
  <c r="F123" i="7"/>
  <c r="I188" i="8"/>
  <c r="I194" s="1"/>
  <c r="I198" s="1"/>
  <c r="F128" i="7"/>
  <c r="E188" i="8"/>
  <c r="E194" s="1"/>
  <c r="E198" s="1"/>
  <c r="F124" i="7"/>
  <c r="G202" i="8"/>
  <c r="G208" s="1"/>
  <c r="G212" s="1"/>
  <c r="F120" i="7"/>
  <c r="D202" i="8"/>
  <c r="D208" s="1"/>
  <c r="F117" i="7"/>
  <c r="F202" i="8"/>
  <c r="F208" s="1"/>
  <c r="F119" i="7"/>
  <c r="F143" i="8"/>
  <c r="F149" s="1"/>
  <c r="F153" s="1"/>
  <c r="F99" i="7"/>
  <c r="F157" i="8"/>
  <c r="F163" s="1"/>
  <c r="F93" i="7"/>
  <c r="G143" i="8"/>
  <c r="G149" s="1"/>
  <c r="F100" i="7"/>
  <c r="I157" i="8"/>
  <c r="I163" s="1"/>
  <c r="F96" i="7"/>
  <c r="E157" i="8"/>
  <c r="E163" s="1"/>
  <c r="F92" i="7"/>
  <c r="H157" i="8"/>
  <c r="H163" s="1"/>
  <c r="F95" i="7"/>
  <c r="E225" i="8"/>
  <c r="S31"/>
  <c r="P31"/>
  <c r="S30"/>
  <c r="P30"/>
  <c r="S29"/>
  <c r="P29"/>
  <c r="S28"/>
  <c r="P28"/>
  <c r="S27"/>
  <c r="P27"/>
  <c r="S26"/>
  <c r="P26"/>
  <c r="S10"/>
  <c r="P10"/>
  <c r="S9"/>
  <c r="P9"/>
  <c r="S8"/>
  <c r="P8"/>
  <c r="S7"/>
  <c r="P7"/>
  <c r="S6"/>
  <c r="P6"/>
  <c r="S5"/>
  <c r="P5"/>
  <c r="E82"/>
  <c r="E81"/>
  <c r="E36"/>
  <c r="E35"/>
  <c r="S32"/>
  <c r="S33"/>
  <c r="S34"/>
  <c r="S35"/>
  <c r="S36"/>
  <c r="S37"/>
  <c r="S11"/>
  <c r="S12"/>
  <c r="S13"/>
  <c r="S14"/>
  <c r="S15"/>
  <c r="S16"/>
  <c r="F129" i="7" l="1"/>
  <c r="H212" i="8"/>
  <c r="J172"/>
  <c r="J175" s="1"/>
  <c r="J177" s="1"/>
  <c r="D158"/>
  <c r="D165" s="1"/>
  <c r="D167" s="1"/>
  <c r="J167" s="1"/>
  <c r="C103" i="7"/>
  <c r="J217" i="8"/>
  <c r="J220" s="1"/>
  <c r="J222" s="1"/>
  <c r="D203"/>
  <c r="D210" s="1"/>
  <c r="D212" s="1"/>
  <c r="C129" i="7"/>
  <c r="F103"/>
  <c r="H167" i="8"/>
  <c r="E167"/>
  <c r="I167"/>
  <c r="G153"/>
  <c r="F167"/>
  <c r="F212"/>
  <c r="H153"/>
  <c r="S18"/>
  <c r="S19" s="1"/>
  <c r="S39"/>
  <c r="D61" i="7"/>
  <c r="J212" i="8" l="1"/>
  <c r="J214"/>
  <c r="J169"/>
  <c r="S41"/>
  <c r="E5" i="6"/>
  <c r="E6" s="1"/>
  <c r="P11" i="8" l="1"/>
  <c r="P12"/>
  <c r="P13"/>
  <c r="P14"/>
  <c r="P15"/>
  <c r="P16"/>
  <c r="M18"/>
  <c r="M19" s="1"/>
  <c r="P32"/>
  <c r="P33"/>
  <c r="P34"/>
  <c r="P35"/>
  <c r="P36"/>
  <c r="P37"/>
  <c r="L52" i="7"/>
  <c r="L26"/>
  <c r="P18" i="8" l="1"/>
  <c r="P19" s="1"/>
  <c r="D5" i="6" l="1"/>
  <c r="D6" s="1"/>
  <c r="D34" i="7"/>
  <c r="D8"/>
  <c r="D78" l="1"/>
  <c r="D51"/>
  <c r="D25"/>
  <c r="E22" i="6"/>
  <c r="E14" s="1"/>
  <c r="E15" s="1"/>
  <c r="E7" s="1"/>
  <c r="D22"/>
  <c r="C22"/>
  <c r="C14" s="1"/>
  <c r="C15" s="1"/>
  <c r="C7" s="1"/>
  <c r="C8" s="1"/>
  <c r="D7" i="7" s="1"/>
  <c r="D14" i="6"/>
  <c r="D15" s="1"/>
  <c r="D7" s="1"/>
  <c r="D8" s="1"/>
  <c r="D33" i="7" s="1"/>
  <c r="E23" l="1"/>
  <c r="E21"/>
  <c r="E19"/>
  <c r="E17"/>
  <c r="E15"/>
  <c r="E13"/>
  <c r="D10"/>
  <c r="E33" i="8" s="1"/>
  <c r="E38" s="1"/>
  <c r="E24" i="7"/>
  <c r="E22"/>
  <c r="E20"/>
  <c r="E18"/>
  <c r="E16"/>
  <c r="E14"/>
  <c r="D9"/>
  <c r="E34" i="8" s="1"/>
  <c r="E40" s="1"/>
  <c r="E50" i="7"/>
  <c r="E48"/>
  <c r="E46"/>
  <c r="E44"/>
  <c r="E42"/>
  <c r="E40"/>
  <c r="D35"/>
  <c r="E80" i="8" s="1"/>
  <c r="E86" s="1"/>
  <c r="E49" i="7"/>
  <c r="E47"/>
  <c r="E45"/>
  <c r="E43"/>
  <c r="E41"/>
  <c r="E39"/>
  <c r="D36"/>
  <c r="E79" i="8" s="1"/>
  <c r="E84" s="1"/>
  <c r="E8" i="6"/>
  <c r="D60" i="7" s="1"/>
  <c r="E66" s="1"/>
  <c r="D111" i="8" s="1"/>
  <c r="D117" s="1"/>
  <c r="E88" l="1"/>
  <c r="J80" s="1"/>
  <c r="J83" s="1"/>
  <c r="E42"/>
  <c r="J34" s="1"/>
  <c r="J37" s="1"/>
  <c r="F39" i="7"/>
  <c r="D65" i="8"/>
  <c r="D71" s="1"/>
  <c r="F43" i="7"/>
  <c r="H65" i="8"/>
  <c r="H71" s="1"/>
  <c r="F47" i="7"/>
  <c r="F51" i="8"/>
  <c r="F57" s="1"/>
  <c r="F42" i="7"/>
  <c r="G65" i="8"/>
  <c r="F46" i="7"/>
  <c r="E51" i="8"/>
  <c r="E57" s="1"/>
  <c r="F50" i="7"/>
  <c r="I51" i="8"/>
  <c r="I57" s="1"/>
  <c r="F14" i="7"/>
  <c r="E19" i="8"/>
  <c r="E25" s="1"/>
  <c r="F18" i="7"/>
  <c r="I19" i="8"/>
  <c r="I25" s="1"/>
  <c r="F22" i="7"/>
  <c r="G5" i="8"/>
  <c r="G11" s="1"/>
  <c r="F15" i="7"/>
  <c r="F19" i="8"/>
  <c r="F25" s="1"/>
  <c r="F19" i="7"/>
  <c r="D5" i="8"/>
  <c r="D11" s="1"/>
  <c r="F23" i="7"/>
  <c r="H5" i="8"/>
  <c r="H11" s="1"/>
  <c r="F41" i="7"/>
  <c r="F65" i="8"/>
  <c r="F71" s="1"/>
  <c r="F45" i="7"/>
  <c r="D51" i="8"/>
  <c r="D57" s="1"/>
  <c r="F49" i="7"/>
  <c r="H51" i="8"/>
  <c r="H57" s="1"/>
  <c r="F40" i="7"/>
  <c r="E65" i="8"/>
  <c r="F44" i="7"/>
  <c r="I65" i="8"/>
  <c r="I71" s="1"/>
  <c r="F48" i="7"/>
  <c r="G51" i="8"/>
  <c r="G57" s="1"/>
  <c r="F16" i="7"/>
  <c r="G19" i="8"/>
  <c r="G25" s="1"/>
  <c r="F20" i="7"/>
  <c r="E5" i="8"/>
  <c r="E11" s="1"/>
  <c r="F24" i="7"/>
  <c r="I5" i="8"/>
  <c r="I11" s="1"/>
  <c r="F13" i="7"/>
  <c r="D19" i="8"/>
  <c r="D25" s="1"/>
  <c r="F17" i="7"/>
  <c r="H19" i="8"/>
  <c r="H25" s="1"/>
  <c r="F21" i="7"/>
  <c r="F5" i="8"/>
  <c r="F11" s="1"/>
  <c r="C24" i="7"/>
  <c r="I6" i="8" s="1"/>
  <c r="I13" s="1"/>
  <c r="C22" i="7"/>
  <c r="G6" i="8" s="1"/>
  <c r="G13" s="1"/>
  <c r="C20" i="7"/>
  <c r="E6" i="8" s="1"/>
  <c r="E13" s="1"/>
  <c r="C18" i="7"/>
  <c r="I20" i="8" s="1"/>
  <c r="I27" s="1"/>
  <c r="C16" i="7"/>
  <c r="G20" i="8" s="1"/>
  <c r="G27" s="1"/>
  <c r="C14" i="7"/>
  <c r="E20" i="8" s="1"/>
  <c r="E27" s="1"/>
  <c r="C23" i="7"/>
  <c r="H6" i="8" s="1"/>
  <c r="H13" s="1"/>
  <c r="C21" i="7"/>
  <c r="F6" i="8" s="1"/>
  <c r="F13" s="1"/>
  <c r="C19" i="7"/>
  <c r="D6" i="8" s="1"/>
  <c r="D13" s="1"/>
  <c r="C17" i="7"/>
  <c r="H20" i="8" s="1"/>
  <c r="H27" s="1"/>
  <c r="C15" i="7"/>
  <c r="F20" i="8" s="1"/>
  <c r="F27" s="1"/>
  <c r="C13" i="7"/>
  <c r="D20" i="8" s="1"/>
  <c r="D27" s="1"/>
  <c r="E76" i="7"/>
  <c r="H97" i="8" s="1"/>
  <c r="H103" s="1"/>
  <c r="E74" i="7"/>
  <c r="F97" i="8" s="1"/>
  <c r="F103" s="1"/>
  <c r="E72" i="7"/>
  <c r="D97" i="8" s="1"/>
  <c r="D103" s="1"/>
  <c r="E70" i="7"/>
  <c r="H111" i="8" s="1"/>
  <c r="H117" s="1"/>
  <c r="E68" i="7"/>
  <c r="F111" i="8" s="1"/>
  <c r="F117" s="1"/>
  <c r="D63" i="7"/>
  <c r="E125" i="8" s="1"/>
  <c r="E130" s="1"/>
  <c r="E77" i="7"/>
  <c r="I97" i="8" s="1"/>
  <c r="I103" s="1"/>
  <c r="E75" i="7"/>
  <c r="G97" i="8" s="1"/>
  <c r="G103" s="1"/>
  <c r="E73" i="7"/>
  <c r="E97" i="8" s="1"/>
  <c r="E103" s="1"/>
  <c r="E71" i="7"/>
  <c r="I111" i="8" s="1"/>
  <c r="I117" s="1"/>
  <c r="E69" i="7"/>
  <c r="G111" i="8" s="1"/>
  <c r="G117" s="1"/>
  <c r="E67" i="7"/>
  <c r="E111" i="8" s="1"/>
  <c r="E117" s="1"/>
  <c r="D62" i="7"/>
  <c r="E126" i="8" s="1"/>
  <c r="E132" s="1"/>
  <c r="C49" i="7"/>
  <c r="H52" i="8" s="1"/>
  <c r="H59" s="1"/>
  <c r="C47" i="7"/>
  <c r="F52" i="8" s="1"/>
  <c r="F59" s="1"/>
  <c r="C45" i="7"/>
  <c r="D52" i="8" s="1"/>
  <c r="D59" s="1"/>
  <c r="C43" i="7"/>
  <c r="H66" i="8" s="1"/>
  <c r="H73" s="1"/>
  <c r="C41" i="7"/>
  <c r="F66" i="8" s="1"/>
  <c r="F73" s="1"/>
  <c r="C39" i="7"/>
  <c r="D66" i="8" s="1"/>
  <c r="D73" s="1"/>
  <c r="C50" i="7"/>
  <c r="I52" i="8" s="1"/>
  <c r="I59" s="1"/>
  <c r="C48" i="7"/>
  <c r="G52" i="8" s="1"/>
  <c r="G59" s="1"/>
  <c r="C46" i="7"/>
  <c r="E52" i="8" s="1"/>
  <c r="E59" s="1"/>
  <c r="C44" i="7"/>
  <c r="I66" i="8" s="1"/>
  <c r="I73" s="1"/>
  <c r="C42" i="7"/>
  <c r="G66" i="8" s="1"/>
  <c r="G73" s="1"/>
  <c r="C40" i="7"/>
  <c r="E66" i="8" s="1"/>
  <c r="E73" s="1"/>
  <c r="F51" i="7" l="1"/>
  <c r="E134" i="8"/>
  <c r="E71"/>
  <c r="E75" s="1"/>
  <c r="G71"/>
  <c r="G75" s="1"/>
  <c r="M39"/>
  <c r="M41" s="1"/>
  <c r="F69" i="7"/>
  <c r="F73"/>
  <c r="F77"/>
  <c r="F66"/>
  <c r="F74"/>
  <c r="F67"/>
  <c r="F71"/>
  <c r="F75"/>
  <c r="F68"/>
  <c r="F72"/>
  <c r="F76"/>
  <c r="F70"/>
  <c r="I15" i="8"/>
  <c r="E15"/>
  <c r="G29"/>
  <c r="H61"/>
  <c r="D61"/>
  <c r="F75"/>
  <c r="F25" i="7"/>
  <c r="F15" i="8"/>
  <c r="H29"/>
  <c r="D29"/>
  <c r="G61"/>
  <c r="I75"/>
  <c r="H15"/>
  <c r="D15"/>
  <c r="F29"/>
  <c r="G15"/>
  <c r="I29"/>
  <c r="E29"/>
  <c r="I61"/>
  <c r="E61"/>
  <c r="F61"/>
  <c r="H75"/>
  <c r="D75"/>
  <c r="C51" i="7"/>
  <c r="C77"/>
  <c r="I98" i="8" s="1"/>
  <c r="I105" s="1"/>
  <c r="I107" s="1"/>
  <c r="C75" i="7"/>
  <c r="G98" i="8" s="1"/>
  <c r="G105" s="1"/>
  <c r="G107" s="1"/>
  <c r="C73" i="7"/>
  <c r="E98" i="8" s="1"/>
  <c r="E105" s="1"/>
  <c r="E107" s="1"/>
  <c r="C71" i="7"/>
  <c r="I112" i="8" s="1"/>
  <c r="I119" s="1"/>
  <c r="I121" s="1"/>
  <c r="C69" i="7"/>
  <c r="G112" i="8" s="1"/>
  <c r="G119" s="1"/>
  <c r="G121" s="1"/>
  <c r="C67" i="7"/>
  <c r="E112" i="8" s="1"/>
  <c r="E119" s="1"/>
  <c r="E121" s="1"/>
  <c r="C76" i="7"/>
  <c r="H98" i="8" s="1"/>
  <c r="H105" s="1"/>
  <c r="H107" s="1"/>
  <c r="C74" i="7"/>
  <c r="F98" i="8" s="1"/>
  <c r="F105" s="1"/>
  <c r="F107" s="1"/>
  <c r="C72" i="7"/>
  <c r="D98" i="8" s="1"/>
  <c r="D105" s="1"/>
  <c r="D107" s="1"/>
  <c r="C70" i="7"/>
  <c r="H112" i="8" s="1"/>
  <c r="H119" s="1"/>
  <c r="H121" s="1"/>
  <c r="C68" i="7"/>
  <c r="F112" i="8" s="1"/>
  <c r="F119" s="1"/>
  <c r="F121" s="1"/>
  <c r="C66" i="7"/>
  <c r="D112" i="8" s="1"/>
  <c r="D119" s="1"/>
  <c r="D121" s="1"/>
  <c r="C25" i="7"/>
  <c r="J121" i="8" l="1"/>
  <c r="J126"/>
  <c r="J129" s="1"/>
  <c r="J131" s="1"/>
  <c r="J123"/>
  <c r="F78" i="7"/>
  <c r="J75" i="8"/>
  <c r="J29"/>
  <c r="J77"/>
  <c r="J31"/>
  <c r="J85"/>
  <c r="C78" i="7"/>
  <c r="J39" i="8" l="1"/>
  <c r="P39"/>
  <c r="P41" s="1"/>
</calcChain>
</file>

<file path=xl/comments1.xml><?xml version="1.0" encoding="utf-8"?>
<comments xmlns="http://schemas.openxmlformats.org/spreadsheetml/2006/main">
  <authors>
    <author>gzhkw6</author>
  </authors>
  <commentList>
    <comment ref="B59" authorId="0">
      <text>
        <r>
          <rPr>
            <sz val="8"/>
            <color indexed="81"/>
            <rFont val="Tahoma"/>
            <family val="2"/>
          </rPr>
          <t>Reconcilling difference consists of low voltage wheeling revenue assigned to distribution in Cost of Service but Transmission in RRC calculation and the assignment of return and related income taxes that vary by rate schedule in Cost of Service that is assumed at unity for the RRC calculation.</t>
        </r>
      </text>
    </comment>
  </commentList>
</comments>
</file>

<file path=xl/sharedStrings.xml><?xml version="1.0" encoding="utf-8"?>
<sst xmlns="http://schemas.openxmlformats.org/spreadsheetml/2006/main" count="627" uniqueCount="166">
  <si>
    <t>Fixed Cost Determination</t>
  </si>
  <si>
    <t>Schedule 1</t>
  </si>
  <si>
    <t>Amount</t>
  </si>
  <si>
    <t xml:space="preserve">  Source</t>
  </si>
  <si>
    <t xml:space="preserve">Less:  Revenue Related Expenses </t>
  </si>
  <si>
    <t>Less:  Production/Transmission Costs*</t>
  </si>
  <si>
    <t>Total Fixed Costs Recovered in Volumetric Charge</t>
  </si>
  <si>
    <t>Schedule 11/12</t>
  </si>
  <si>
    <t>Schedule 21/22</t>
  </si>
  <si>
    <t>* Production/Transmission Costs</t>
  </si>
  <si>
    <t>Source</t>
  </si>
  <si>
    <t>Normalized kilowatt hours</t>
  </si>
  <si>
    <t>Total Production/Transmission Costs</t>
  </si>
  <si>
    <t>Base Year Statistics for Decoupling Calculations</t>
  </si>
  <si>
    <t>Schedule 1 - Residential Electric Service</t>
  </si>
  <si>
    <t>Item</t>
  </si>
  <si>
    <t>Exhibit</t>
  </si>
  <si>
    <t>Authorized Fixed Costs</t>
  </si>
  <si>
    <t>PDE-5 Pg 1</t>
  </si>
  <si>
    <t>Number of Customers</t>
  </si>
  <si>
    <t>Annual FCC (Fixed Costs/Customers)</t>
  </si>
  <si>
    <t>FCC</t>
  </si>
  <si>
    <t>kWhs Sold</t>
  </si>
  <si>
    <t>January</t>
  </si>
  <si>
    <t>February</t>
  </si>
  <si>
    <t>March</t>
  </si>
  <si>
    <t>April</t>
  </si>
  <si>
    <t>May</t>
  </si>
  <si>
    <t>June</t>
  </si>
  <si>
    <t>July</t>
  </si>
  <si>
    <t>August</t>
  </si>
  <si>
    <t>September</t>
  </si>
  <si>
    <t>October</t>
  </si>
  <si>
    <t>November</t>
  </si>
  <si>
    <t>December</t>
  </si>
  <si>
    <t>(a)</t>
  </si>
  <si>
    <t>(b)</t>
  </si>
  <si>
    <t>FCC from Test Year</t>
  </si>
  <si>
    <t xml:space="preserve">(c) </t>
  </si>
  <si>
    <t>Monthly Customers</t>
  </si>
  <si>
    <t>(d)</t>
  </si>
  <si>
    <t>Monthly Actual kWh's</t>
  </si>
  <si>
    <t>Fixed Costs Recovered</t>
  </si>
  <si>
    <t>(a * d)</t>
  </si>
  <si>
    <t>Fixed Costs Allowed to be Recovered</t>
  </si>
  <si>
    <t>(b * c)</t>
  </si>
  <si>
    <t>Amount Over or (Under) Collected</t>
  </si>
  <si>
    <t>Fixed Cost Adjustment - Schedule 1</t>
  </si>
  <si>
    <t xml:space="preserve">(e) </t>
  </si>
  <si>
    <t>(f)</t>
  </si>
  <si>
    <t>(g)</t>
  </si>
  <si>
    <t>(e - f)</t>
  </si>
  <si>
    <t>Exclude Revenue Related Expenses</t>
  </si>
  <si>
    <t>Transmission Costs by Class</t>
  </si>
  <si>
    <t>Revenue Conversion Factor</t>
  </si>
  <si>
    <t>Present Billed Revenue</t>
  </si>
  <si>
    <t>Revenue Refund (Surcharge)</t>
  </si>
  <si>
    <t>% Change</t>
  </si>
  <si>
    <t>Compliance Filing, Supporting Rate Design Tab</t>
  </si>
  <si>
    <t>From Cost of Service, see below</t>
  </si>
  <si>
    <t>Total Rate Schedule Revenue (UE-110876)</t>
  </si>
  <si>
    <t>Use Rev Req Run used to determine Settlement</t>
  </si>
  <si>
    <t>Cost of Service Model (incorporates usage</t>
  </si>
  <si>
    <t>based allocations without the EELA)</t>
  </si>
  <si>
    <t>Retail Revenue Credit applied to the "as filed"</t>
  </si>
  <si>
    <t>Schedule 11/12 - Small Commercial Electric Service</t>
  </si>
  <si>
    <t>Cost of Service / Settlement Results with Settlement Revenue</t>
  </si>
  <si>
    <t>Reconcile Cost of Service to Retail Revenue Credit</t>
  </si>
  <si>
    <t>Total</t>
  </si>
  <si>
    <t>Cost of Service Total</t>
  </si>
  <si>
    <t>Production</t>
  </si>
  <si>
    <t>Transmission</t>
  </si>
  <si>
    <t>Exclude Direct Admin and General Expenses</t>
  </si>
  <si>
    <t>Retail Revenue Credit Production and Transmission Cost</t>
  </si>
  <si>
    <t>Exclude Revenue Related and Direct Admin &amp; General Expenses</t>
  </si>
  <si>
    <t>Reconcilling Difference</t>
  </si>
  <si>
    <t>Sch 1</t>
  </si>
  <si>
    <t>Sch 11</t>
  </si>
  <si>
    <t>Sch 12</t>
  </si>
  <si>
    <t>Sch 11/12</t>
  </si>
  <si>
    <t>Jan</t>
  </si>
  <si>
    <t>Feb</t>
  </si>
  <si>
    <t>Mar</t>
  </si>
  <si>
    <t>Apr</t>
  </si>
  <si>
    <t>Jun</t>
  </si>
  <si>
    <t>Jul</t>
  </si>
  <si>
    <t>Aug</t>
  </si>
  <si>
    <t>Sep</t>
  </si>
  <si>
    <t>Oct</t>
  </si>
  <si>
    <t>Nov</t>
  </si>
  <si>
    <t>Dec</t>
  </si>
  <si>
    <t>Customers</t>
  </si>
  <si>
    <t>kWhs</t>
  </si>
  <si>
    <t>Annual Total</t>
  </si>
  <si>
    <t>Average Use/Cust</t>
  </si>
  <si>
    <t>From "v16 Electric Revenue 2012-2016 Forecast"</t>
  </si>
  <si>
    <t>calendar</t>
  </si>
  <si>
    <t>Sch 21</t>
  </si>
  <si>
    <t>Sch 22</t>
  </si>
  <si>
    <t>Sch 21/22</t>
  </si>
  <si>
    <t>Fixed Cost Adjustment - Schedule 11/12</t>
  </si>
  <si>
    <t>Schedule 21/22 - Large Commercial Electric Service</t>
  </si>
  <si>
    <t>Fixed Cost Adjustment - Schedule 21/22</t>
  </si>
  <si>
    <t>(h)</t>
  </si>
  <si>
    <t>Annual FCC from Test Year</t>
  </si>
  <si>
    <t>12 ME Average Monthly Customers</t>
  </si>
  <si>
    <t>12 ME Actual kWh's</t>
  </si>
  <si>
    <t>(ha)</t>
  </si>
  <si>
    <t>(hb)</t>
  </si>
  <si>
    <t>(hc)</t>
  </si>
  <si>
    <t>(hd)</t>
  </si>
  <si>
    <t>(he)</t>
  </si>
  <si>
    <t>(hf)</t>
  </si>
  <si>
    <t>(hg)</t>
  </si>
  <si>
    <t>12 ME Fixed Costs Recovered</t>
  </si>
  <si>
    <t>12 ME Fixed Costs Allowed to be Recovered</t>
  </si>
  <si>
    <t>12 ME Amount Over or (Under) Collected</t>
  </si>
  <si>
    <t>(hb * hc)</t>
  </si>
  <si>
    <t>(he - hf)</t>
  </si>
  <si>
    <t>(ha * hd)</t>
  </si>
  <si>
    <t>12 ME Ended June Deferral</t>
  </si>
  <si>
    <t>12 Months Ended June True-Up Adjustment</t>
  </si>
  <si>
    <t>Authorized Fixed Costs in Vol. Rate</t>
  </si>
  <si>
    <t>Exclude Energy Related Direct Admin and General Expenses</t>
  </si>
  <si>
    <t>Exclude Energy Related Revenue Related Expenses</t>
  </si>
  <si>
    <t>Total Energy Related Production Cost by Class</t>
  </si>
  <si>
    <t>Energy Related Production Cost by Class embedded in RRC</t>
  </si>
  <si>
    <t>Total Energy Related Transmission Cost by Class</t>
  </si>
  <si>
    <t>Energy Related Transmission Cost by Class embedded in RRC</t>
  </si>
  <si>
    <t>Energy Classified Production Costs by Class</t>
  </si>
  <si>
    <t>Schedule Energy Classified Contribution to Retail Revenue Credit</t>
  </si>
  <si>
    <t>Production Revenue Related Expense Ratio</t>
  </si>
  <si>
    <t>Transmission Revenue Related Expense Ratio</t>
  </si>
  <si>
    <t>Sumcost Reference Line 273 / Line 276</t>
  </si>
  <si>
    <t>Sumcost Reference Line 284 / Line 287</t>
  </si>
  <si>
    <t>Query Result</t>
  </si>
  <si>
    <t>Computation</t>
  </si>
  <si>
    <t>Sumcost Reference Line 564</t>
  </si>
  <si>
    <t>Sumcost Reference Line 565</t>
  </si>
  <si>
    <t>Energy Classified Transmission Costs by Class</t>
  </si>
  <si>
    <t>Total Energy Classified Production/Transmission Costs in RRC</t>
  </si>
  <si>
    <t>Supporting Calculations</t>
  </si>
  <si>
    <t>Schedule 25</t>
  </si>
  <si>
    <t>Schedule 31/32</t>
  </si>
  <si>
    <t>Schedule 30/31/32</t>
  </si>
  <si>
    <t>Cost of Service values from Rev Req Model used to determine Settlement Retail Revenue Credit applied to the "as filed" Cost of Service Model (incorporates usage based allocations without the EELA)</t>
  </si>
  <si>
    <t>Deduct Total Energy Classified Production/Transmission Costs</t>
  </si>
  <si>
    <t>Annual Use/Cust</t>
  </si>
  <si>
    <t>Monthly Average Use/Cust</t>
  </si>
  <si>
    <t>Schedule 25 - Extra Large Commercial/Industrial Electric Service</t>
  </si>
  <si>
    <t>Schedule 30/31/32 - Pumping Service</t>
  </si>
  <si>
    <t>Fixed Cost Adjustment - Schedule 30/31/32</t>
  </si>
  <si>
    <t>Fixed Cost Adjustment - Schedule 25</t>
  </si>
  <si>
    <t>Sch 25</t>
  </si>
  <si>
    <t>Sch 31</t>
  </si>
  <si>
    <t>Sch 32</t>
  </si>
  <si>
    <t>Sch 30/31/32</t>
  </si>
  <si>
    <t>Less:  Total Fixed Charge Revenue</t>
  </si>
  <si>
    <t>UE-110876 Settlement Effective 1/1/2012</t>
  </si>
  <si>
    <t>0.955792 Revenue Conv. Factor (EMA-2, Pg 4, Ln 7)</t>
  </si>
  <si>
    <t>From below</t>
  </si>
  <si>
    <t>Annual FCER (Fixed Costs/kWh)</t>
  </si>
  <si>
    <t>Monthly FCER *  kWhs Sold</t>
  </si>
  <si>
    <t>FCER</t>
  </si>
  <si>
    <t>FCER from Test Year</t>
  </si>
  <si>
    <t>Annual FCER from Test Year</t>
  </si>
</sst>
</file>

<file path=xl/styles.xml><?xml version="1.0" encoding="utf-8"?>
<styleSheet xmlns="http://schemas.openxmlformats.org/spreadsheetml/2006/main">
  <numFmts count="7">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00000_);_(&quot;$&quot;* \(#,##0.00000\);_(&quot;$&quot;* &quot;-&quot;??_);_(@_)"/>
    <numFmt numFmtId="167" formatCode="_(* #,##0.000000_);_(* \(#,##0.000000\);_(* &quot;-&quot;??_);_(@_)"/>
    <numFmt numFmtId="168" formatCode="0.000000"/>
  </numFmts>
  <fonts count="10">
    <font>
      <sz val="11"/>
      <color theme="1"/>
      <name val="Calibri"/>
      <family val="2"/>
      <scheme val="minor"/>
    </font>
    <font>
      <sz val="11"/>
      <color theme="1"/>
      <name val="Calibri"/>
      <family val="2"/>
      <scheme val="minor"/>
    </font>
    <font>
      <b/>
      <sz val="11"/>
      <color theme="1"/>
      <name val="Calibri"/>
      <family val="2"/>
      <scheme val="minor"/>
    </font>
    <font>
      <b/>
      <sz val="12"/>
      <color theme="1"/>
      <name val="Times New Roman"/>
      <family val="1"/>
    </font>
    <font>
      <sz val="12"/>
      <color theme="1"/>
      <name val="Times New Roman"/>
      <family val="1"/>
    </font>
    <font>
      <b/>
      <u/>
      <sz val="12"/>
      <color theme="1"/>
      <name val="Times New Roman"/>
      <family val="1"/>
    </font>
    <font>
      <b/>
      <u/>
      <sz val="14"/>
      <color theme="1"/>
      <name val="Calibri"/>
      <family val="2"/>
      <scheme val="minor"/>
    </font>
    <font>
      <b/>
      <u/>
      <sz val="11"/>
      <color theme="1"/>
      <name val="Calibri"/>
      <family val="2"/>
      <scheme val="minor"/>
    </font>
    <font>
      <sz val="10"/>
      <name val="Arial"/>
      <family val="2"/>
    </font>
    <font>
      <sz val="8"/>
      <color indexed="81"/>
      <name val="Tahoma"/>
      <family val="2"/>
    </font>
  </fonts>
  <fills count="3">
    <fill>
      <patternFill patternType="none"/>
    </fill>
    <fill>
      <patternFill patternType="gray125"/>
    </fill>
    <fill>
      <patternFill patternType="solid">
        <fgColor theme="7" tint="0.79998168889431442"/>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0" fontId="8" fillId="0" borderId="0"/>
    <xf numFmtId="9" fontId="8" fillId="0" borderId="0" applyFont="0" applyFill="0" applyBorder="0" applyAlignment="0" applyProtection="0"/>
    <xf numFmtId="9" fontId="1" fillId="0" borderId="0" applyFont="0" applyFill="0" applyBorder="0" applyAlignment="0" applyProtection="0"/>
  </cellStyleXfs>
  <cellXfs count="70">
    <xf numFmtId="0" fontId="0" fillId="0" borderId="0" xfId="0"/>
    <xf numFmtId="0" fontId="3" fillId="0" borderId="0" xfId="0" applyFont="1"/>
    <xf numFmtId="0" fontId="4" fillId="0" borderId="0" xfId="0" applyFont="1"/>
    <xf numFmtId="0" fontId="6" fillId="0" borderId="0" xfId="0" applyFont="1"/>
    <xf numFmtId="0" fontId="7" fillId="0" borderId="0" xfId="0" applyFont="1" applyAlignment="1">
      <alignment horizontal="center"/>
    </xf>
    <xf numFmtId="166" fontId="0" fillId="0" borderId="0" xfId="2" applyNumberFormat="1" applyFont="1"/>
    <xf numFmtId="44" fontId="0" fillId="0" borderId="0" xfId="2" applyNumberFormat="1" applyFont="1"/>
    <xf numFmtId="44" fontId="0" fillId="0" borderId="0" xfId="2" applyFont="1"/>
    <xf numFmtId="164" fontId="4" fillId="0" borderId="0" xfId="2" applyNumberFormat="1" applyFont="1" applyFill="1"/>
    <xf numFmtId="0" fontId="0" fillId="0" borderId="0" xfId="0" applyFill="1"/>
    <xf numFmtId="165" fontId="4" fillId="0" borderId="2" xfId="0" applyNumberFormat="1" applyFont="1" applyBorder="1"/>
    <xf numFmtId="166" fontId="4" fillId="0" borderId="0" xfId="2" applyNumberFormat="1" applyFont="1" applyFill="1" applyAlignment="1">
      <alignment horizontal="center"/>
    </xf>
    <xf numFmtId="44" fontId="2" fillId="0" borderId="0" xfId="0" applyNumberFormat="1" applyFont="1" applyBorder="1"/>
    <xf numFmtId="164" fontId="2" fillId="0" borderId="0" xfId="0" applyNumberFormat="1" applyFont="1" applyBorder="1"/>
    <xf numFmtId="10" fontId="2" fillId="0" borderId="0" xfId="6" applyNumberFormat="1" applyFont="1" applyBorder="1"/>
    <xf numFmtId="0" fontId="7" fillId="0" borderId="0" xfId="0" applyFont="1" applyFill="1" applyAlignment="1">
      <alignment horizontal="center"/>
    </xf>
    <xf numFmtId="166" fontId="0" fillId="0" borderId="0" xfId="2" applyNumberFormat="1" applyFont="1" applyFill="1"/>
    <xf numFmtId="44" fontId="0" fillId="0" borderId="0" xfId="2" applyNumberFormat="1" applyFont="1" applyFill="1"/>
    <xf numFmtId="165" fontId="4" fillId="0" borderId="0" xfId="1" applyNumberFormat="1" applyFont="1"/>
    <xf numFmtId="165" fontId="4" fillId="0" borderId="0" xfId="0" applyNumberFormat="1" applyFont="1"/>
    <xf numFmtId="165" fontId="4" fillId="0" borderId="0" xfId="1" applyNumberFormat="1" applyFont="1" applyAlignment="1">
      <alignment horizontal="center"/>
    </xf>
    <xf numFmtId="165" fontId="4" fillId="0" borderId="0" xfId="1" applyNumberFormat="1" applyFont="1" applyAlignment="1">
      <alignment horizontal="right"/>
    </xf>
    <xf numFmtId="0" fontId="0" fillId="0" borderId="0" xfId="0" applyAlignment="1">
      <alignment horizontal="center"/>
    </xf>
    <xf numFmtId="0" fontId="0" fillId="0" borderId="0" xfId="0" applyAlignment="1">
      <alignment horizontal="right"/>
    </xf>
    <xf numFmtId="0" fontId="0" fillId="0" borderId="0" xfId="0" applyFill="1" applyAlignment="1">
      <alignment horizontal="right"/>
    </xf>
    <xf numFmtId="167" fontId="2" fillId="0" borderId="0" xfId="1" applyNumberFormat="1" applyFont="1" applyFill="1" applyBorder="1"/>
    <xf numFmtId="164" fontId="2" fillId="0" borderId="0" xfId="0" applyNumberFormat="1" applyFont="1" applyFill="1" applyBorder="1"/>
    <xf numFmtId="165" fontId="0" fillId="0" borderId="0" xfId="1" applyNumberFormat="1" applyFont="1"/>
    <xf numFmtId="165" fontId="0" fillId="0" borderId="0" xfId="0" applyNumberFormat="1"/>
    <xf numFmtId="0" fontId="0" fillId="0" borderId="0" xfId="6" applyNumberFormat="1" applyFont="1"/>
    <xf numFmtId="44" fontId="2" fillId="0" borderId="0" xfId="0" applyNumberFormat="1" applyFont="1"/>
    <xf numFmtId="44" fontId="2" fillId="0" borderId="1" xfId="0" applyNumberFormat="1" applyFont="1" applyBorder="1"/>
    <xf numFmtId="43" fontId="4" fillId="0" borderId="0" xfId="0" applyNumberFormat="1" applyFont="1"/>
    <xf numFmtId="0" fontId="0" fillId="0" borderId="0" xfId="0" applyFont="1"/>
    <xf numFmtId="0" fontId="0" fillId="0" borderId="0" xfId="0" applyFont="1" applyFill="1"/>
    <xf numFmtId="165" fontId="0" fillId="0" borderId="0" xfId="1" applyNumberFormat="1" applyFont="1" applyFill="1"/>
    <xf numFmtId="165" fontId="0" fillId="0" borderId="0" xfId="0" applyNumberFormat="1" applyFont="1" applyFill="1"/>
    <xf numFmtId="44" fontId="0" fillId="0" borderId="0" xfId="0" applyNumberFormat="1" applyFont="1"/>
    <xf numFmtId="44" fontId="0" fillId="0" borderId="0" xfId="0" applyNumberFormat="1" applyFont="1" applyAlignment="1">
      <alignment horizontal="right"/>
    </xf>
    <xf numFmtId="44" fontId="0" fillId="0" borderId="1" xfId="0" applyNumberFormat="1" applyFont="1" applyBorder="1"/>
    <xf numFmtId="165" fontId="4" fillId="2" borderId="0" xfId="1" applyNumberFormat="1" applyFont="1" applyFill="1"/>
    <xf numFmtId="165" fontId="4" fillId="0" borderId="0" xfId="0" applyNumberFormat="1" applyFont="1" applyBorder="1"/>
    <xf numFmtId="0" fontId="4" fillId="0" borderId="0" xfId="0" applyFont="1" applyFill="1"/>
    <xf numFmtId="165" fontId="4" fillId="0" borderId="0" xfId="1" applyNumberFormat="1" applyFont="1" applyFill="1"/>
    <xf numFmtId="165" fontId="4" fillId="0" borderId="2" xfId="0" applyNumberFormat="1" applyFont="1" applyFill="1" applyBorder="1"/>
    <xf numFmtId="0" fontId="2" fillId="0" borderId="0" xfId="0" applyFont="1" applyAlignment="1">
      <alignment horizontal="center"/>
    </xf>
    <xf numFmtId="165" fontId="2" fillId="0" borderId="0" xfId="0" applyNumberFormat="1" applyFont="1"/>
    <xf numFmtId="165" fontId="2" fillId="0" borderId="0" xfId="1" applyNumberFormat="1" applyFont="1"/>
    <xf numFmtId="0" fontId="4" fillId="0" borderId="0" xfId="0" applyFont="1" applyAlignment="1">
      <alignment horizontal="center"/>
    </xf>
    <xf numFmtId="0" fontId="4" fillId="0" borderId="0" xfId="0" applyFont="1" applyFill="1" applyAlignment="1">
      <alignment horizontal="center"/>
    </xf>
    <xf numFmtId="0" fontId="5" fillId="0" borderId="0" xfId="0" applyFont="1" applyFill="1"/>
    <xf numFmtId="0" fontId="5" fillId="0" borderId="0" xfId="0" applyFont="1" applyFill="1" applyAlignment="1">
      <alignment horizontal="center"/>
    </xf>
    <xf numFmtId="0" fontId="4" fillId="0" borderId="0" xfId="0" applyFont="1" applyFill="1" applyAlignment="1"/>
    <xf numFmtId="164" fontId="3" fillId="0" borderId="0" xfId="2" applyNumberFormat="1" applyFont="1" applyFill="1"/>
    <xf numFmtId="165" fontId="4" fillId="0" borderId="0" xfId="1" applyNumberFormat="1" applyFont="1" applyFill="1" applyAlignment="1">
      <alignment horizontal="center"/>
    </xf>
    <xf numFmtId="0" fontId="4" fillId="0" borderId="0" xfId="0" applyFont="1" applyFill="1" applyAlignment="1">
      <alignment wrapText="1"/>
    </xf>
    <xf numFmtId="164" fontId="3" fillId="0" borderId="0" xfId="2" applyNumberFormat="1" applyFont="1" applyFill="1" applyAlignment="1">
      <alignment horizontal="center"/>
    </xf>
    <xf numFmtId="0" fontId="4" fillId="0" borderId="0" xfId="0" applyFont="1" applyFill="1" applyAlignment="1">
      <alignment horizontal="left" vertical="top" wrapText="1"/>
    </xf>
    <xf numFmtId="165" fontId="4" fillId="0" borderId="0" xfId="0" applyNumberFormat="1" applyFont="1" applyFill="1" applyBorder="1"/>
    <xf numFmtId="168" fontId="4" fillId="0" borderId="0" xfId="0" applyNumberFormat="1" applyFont="1" applyFill="1"/>
    <xf numFmtId="0" fontId="3" fillId="0" borderId="0" xfId="0" applyFont="1" applyFill="1"/>
    <xf numFmtId="0" fontId="4" fillId="0" borderId="0" xfId="0" applyFont="1" applyFill="1" applyAlignment="1">
      <alignment horizontal="left"/>
    </xf>
    <xf numFmtId="44" fontId="4" fillId="0" borderId="0" xfId="2" applyFont="1" applyFill="1"/>
    <xf numFmtId="44" fontId="4" fillId="0" borderId="0" xfId="0" applyNumberFormat="1" applyFont="1" applyFill="1"/>
    <xf numFmtId="166" fontId="4" fillId="0" borderId="0" xfId="2" applyNumberFormat="1" applyFont="1" applyFill="1"/>
    <xf numFmtId="44" fontId="4" fillId="0" borderId="0" xfId="2" applyNumberFormat="1" applyFont="1" applyFill="1"/>
    <xf numFmtId="44" fontId="3" fillId="0" borderId="0" xfId="0" applyNumberFormat="1" applyFont="1" applyFill="1"/>
    <xf numFmtId="165" fontId="3" fillId="0" borderId="0" xfId="1" applyNumberFormat="1" applyFont="1" applyFill="1"/>
    <xf numFmtId="164" fontId="3" fillId="0" borderId="0" xfId="0" applyNumberFormat="1" applyFont="1" applyFill="1"/>
    <xf numFmtId="43" fontId="4" fillId="0" borderId="0" xfId="0" applyNumberFormat="1" applyFont="1" applyFill="1"/>
  </cellXfs>
  <cellStyles count="7">
    <cellStyle name="Comma" xfId="1" builtinId="3"/>
    <cellStyle name="Comma 2" xfId="3"/>
    <cellStyle name="Currency" xfId="2" builtinId="4"/>
    <cellStyle name="Normal" xfId="0" builtinId="0"/>
    <cellStyle name="Normal 2" xfId="4"/>
    <cellStyle name="Percent" xfId="6" builtinId="5"/>
    <cellStyle name="Percent 2" xfId="5"/>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1:L60"/>
  <sheetViews>
    <sheetView zoomScaleNormal="100" workbookViewId="0">
      <selection activeCell="C13" sqref="C13"/>
    </sheetView>
  </sheetViews>
  <sheetFormatPr defaultRowHeight="15.75"/>
  <cols>
    <col min="1" max="1" width="4" style="48" customWidth="1"/>
    <col min="2" max="2" width="58.28515625" style="2" customWidth="1"/>
    <col min="3" max="3" width="22.7109375" style="2" customWidth="1"/>
    <col min="4" max="4" width="20.42578125" style="2" customWidth="1"/>
    <col min="5" max="5" width="19.5703125" style="2" customWidth="1"/>
    <col min="6" max="6" width="20.42578125" style="2" customWidth="1"/>
    <col min="7" max="7" width="18.28515625" style="2" customWidth="1"/>
    <col min="8" max="8" width="1.5703125" style="2" customWidth="1"/>
    <col min="9" max="9" width="50.42578125" style="2" customWidth="1"/>
    <col min="10" max="11" width="9.140625" style="2"/>
    <col min="12" max="12" width="12.7109375" style="2" bestFit="1" customWidth="1"/>
    <col min="13" max="16384" width="9.140625" style="2"/>
  </cols>
  <sheetData>
    <row r="1" spans="1:12">
      <c r="B1" s="1" t="s">
        <v>0</v>
      </c>
      <c r="C1" s="2" t="s">
        <v>158</v>
      </c>
    </row>
    <row r="3" spans="1:12">
      <c r="A3" s="49"/>
      <c r="B3" s="50"/>
      <c r="C3" s="51" t="s">
        <v>1</v>
      </c>
      <c r="D3" s="51" t="s">
        <v>7</v>
      </c>
      <c r="E3" s="51" t="s">
        <v>8</v>
      </c>
      <c r="F3" s="51" t="s">
        <v>142</v>
      </c>
      <c r="G3" s="51" t="s">
        <v>144</v>
      </c>
      <c r="H3" s="51"/>
      <c r="I3" s="50" t="s">
        <v>3</v>
      </c>
    </row>
    <row r="4" spans="1:12">
      <c r="A4" s="49">
        <v>1</v>
      </c>
      <c r="B4" s="42" t="s">
        <v>60</v>
      </c>
      <c r="C4" s="8">
        <v>199410298</v>
      </c>
      <c r="D4" s="8">
        <v>47753836</v>
      </c>
      <c r="E4" s="8">
        <v>133228485</v>
      </c>
      <c r="F4" s="8">
        <v>56724425</v>
      </c>
      <c r="G4" s="8">
        <v>9262487</v>
      </c>
      <c r="H4" s="8"/>
      <c r="I4" s="42" t="s">
        <v>58</v>
      </c>
    </row>
    <row r="5" spans="1:12">
      <c r="A5" s="49">
        <v>2</v>
      </c>
      <c r="B5" s="42" t="s">
        <v>157</v>
      </c>
      <c r="C5" s="8">
        <v>-14448714</v>
      </c>
      <c r="D5" s="8">
        <f>-3959352-876760-3228</f>
        <v>-4839340</v>
      </c>
      <c r="E5" s="8">
        <f>-15721200-13850618-124833+62624</f>
        <v>-29634027</v>
      </c>
      <c r="F5" s="8">
        <f>-3696000-5262550+1154806</f>
        <v>-7803744</v>
      </c>
      <c r="G5" s="8">
        <f>-285600-5284</f>
        <v>-290884</v>
      </c>
      <c r="H5" s="8"/>
      <c r="I5" s="42" t="s">
        <v>58</v>
      </c>
    </row>
    <row r="6" spans="1:12">
      <c r="A6" s="49">
        <v>3</v>
      </c>
      <c r="B6" s="42" t="s">
        <v>4</v>
      </c>
      <c r="C6" s="8">
        <f>-(C4+C5)*(1-0.955792)</f>
        <v>-8176781.7054720046</v>
      </c>
      <c r="D6" s="8">
        <f>-(D4+D5)*(1-0.955792)</f>
        <v>-1897164.0391680012</v>
      </c>
      <c r="E6" s="8">
        <f>-(E4+E5)*(1-0.955792)</f>
        <v>-4579703.7992640026</v>
      </c>
      <c r="F6" s="8">
        <f>-(F4+F5)*(1-0.955792)</f>
        <v>-2162685.4656480011</v>
      </c>
      <c r="G6" s="8">
        <f>-(G4+G5)*(1-0.955792)</f>
        <v>-396616.6254240002</v>
      </c>
      <c r="H6" s="8"/>
      <c r="I6" s="52" t="s">
        <v>159</v>
      </c>
    </row>
    <row r="7" spans="1:12">
      <c r="A7" s="49">
        <v>4</v>
      </c>
      <c r="B7" s="42" t="s">
        <v>5</v>
      </c>
      <c r="C7" s="8">
        <f>C15</f>
        <v>-72348448.15117009</v>
      </c>
      <c r="D7" s="8">
        <f>D15</f>
        <v>-16796709.956620652</v>
      </c>
      <c r="E7" s="8">
        <f>E15</f>
        <v>-57072820.872317247</v>
      </c>
      <c r="F7" s="8">
        <f>F15</f>
        <v>-31169083.420651361</v>
      </c>
      <c r="G7" s="8">
        <f>G15</f>
        <v>-3935593.4597789906</v>
      </c>
      <c r="H7" s="8"/>
      <c r="I7" s="42" t="s">
        <v>160</v>
      </c>
    </row>
    <row r="8" spans="1:12">
      <c r="A8" s="49">
        <v>5</v>
      </c>
      <c r="B8" s="42" t="s">
        <v>6</v>
      </c>
      <c r="C8" s="53">
        <f>SUM(C4:C7)</f>
        <v>104436354.14335792</v>
      </c>
      <c r="D8" s="53">
        <f>SUM(D4:D7)</f>
        <v>24220622.004211348</v>
      </c>
      <c r="E8" s="53">
        <f>SUM(E4:E7)</f>
        <v>41941933.328418754</v>
      </c>
      <c r="F8" s="53">
        <f>SUM(F4:F7)</f>
        <v>15588912.113700636</v>
      </c>
      <c r="G8" s="53">
        <f>SUM(G4:G7)</f>
        <v>4639392.9147970099</v>
      </c>
      <c r="H8" s="53"/>
      <c r="I8" s="42"/>
    </row>
    <row r="9" spans="1:12">
      <c r="A9" s="49">
        <v>6</v>
      </c>
      <c r="B9" s="42"/>
      <c r="C9" s="42"/>
      <c r="D9" s="42"/>
      <c r="E9" s="42"/>
      <c r="F9" s="42"/>
      <c r="G9" s="42"/>
      <c r="H9" s="42"/>
      <c r="I9" s="42"/>
    </row>
    <row r="10" spans="1:12">
      <c r="A10" s="49">
        <v>7</v>
      </c>
      <c r="B10" s="42"/>
      <c r="C10" s="42"/>
      <c r="D10" s="42"/>
      <c r="E10" s="42"/>
      <c r="F10" s="42"/>
      <c r="G10" s="42"/>
      <c r="H10" s="42"/>
      <c r="I10" s="42"/>
    </row>
    <row r="11" spans="1:12">
      <c r="A11" s="49">
        <v>8</v>
      </c>
      <c r="B11" s="42"/>
      <c r="C11" s="42"/>
      <c r="D11" s="42"/>
      <c r="E11" s="42"/>
      <c r="F11" s="42"/>
      <c r="G11" s="42"/>
      <c r="H11" s="42"/>
      <c r="I11" s="42"/>
    </row>
    <row r="12" spans="1:12">
      <c r="A12" s="49">
        <v>9</v>
      </c>
      <c r="B12" s="50" t="s">
        <v>9</v>
      </c>
      <c r="C12" s="51" t="s">
        <v>1</v>
      </c>
      <c r="D12" s="51" t="s">
        <v>7</v>
      </c>
      <c r="E12" s="51" t="s">
        <v>8</v>
      </c>
      <c r="F12" s="51" t="s">
        <v>142</v>
      </c>
      <c r="G12" s="51" t="s">
        <v>143</v>
      </c>
      <c r="H12" s="51"/>
      <c r="I12" s="50" t="s">
        <v>10</v>
      </c>
    </row>
    <row r="13" spans="1:12" ht="34.5" customHeight="1">
      <c r="A13" s="49">
        <v>10</v>
      </c>
      <c r="B13" s="42" t="s">
        <v>11</v>
      </c>
      <c r="C13" s="54">
        <v>2400600212</v>
      </c>
      <c r="D13" s="54">
        <v>412773798</v>
      </c>
      <c r="E13" s="54">
        <v>1534219600</v>
      </c>
      <c r="F13" s="54">
        <v>1032906148</v>
      </c>
      <c r="G13" s="54">
        <v>121381473</v>
      </c>
      <c r="H13" s="54"/>
      <c r="I13" s="55" t="s">
        <v>58</v>
      </c>
    </row>
    <row r="14" spans="1:12" ht="16.5" customHeight="1">
      <c r="A14" s="49">
        <v>11</v>
      </c>
      <c r="B14" s="42" t="s">
        <v>130</v>
      </c>
      <c r="C14" s="11">
        <f>C22/C13</f>
        <v>3.013764965508138E-2</v>
      </c>
      <c r="D14" s="11">
        <f t="shared" ref="D14:E14" si="0">D22/D13</f>
        <v>4.0692287247895156E-2</v>
      </c>
      <c r="E14" s="11">
        <f t="shared" si="0"/>
        <v>3.7199903372579286E-2</v>
      </c>
      <c r="F14" s="11">
        <f t="shared" ref="F14:G14" si="1">F22/F13</f>
        <v>3.0176104073931179E-2</v>
      </c>
      <c r="G14" s="11">
        <f t="shared" si="1"/>
        <v>3.2423345692789464E-2</v>
      </c>
      <c r="H14" s="11"/>
      <c r="I14" s="55" t="s">
        <v>59</v>
      </c>
      <c r="L14" s="32"/>
    </row>
    <row r="15" spans="1:12">
      <c r="A15" s="49">
        <v>12</v>
      </c>
      <c r="B15" s="42" t="s">
        <v>146</v>
      </c>
      <c r="C15" s="56">
        <f>-C14*C13</f>
        <v>-72348448.15117009</v>
      </c>
      <c r="D15" s="56">
        <f t="shared" ref="D15:E15" si="2">-D14*D13</f>
        <v>-16796709.956620652</v>
      </c>
      <c r="E15" s="56">
        <f t="shared" si="2"/>
        <v>-57072820.872317247</v>
      </c>
      <c r="F15" s="56">
        <f t="shared" ref="F15:G15" si="3">-F14*F13</f>
        <v>-31169083.420651361</v>
      </c>
      <c r="G15" s="56">
        <f t="shared" si="3"/>
        <v>-3935593.4597789906</v>
      </c>
      <c r="H15" s="56"/>
      <c r="I15" s="42"/>
    </row>
    <row r="16" spans="1:12">
      <c r="A16" s="49">
        <v>13</v>
      </c>
      <c r="B16" s="42"/>
      <c r="C16" s="42"/>
      <c r="D16" s="42"/>
      <c r="E16" s="42"/>
      <c r="F16" s="42"/>
      <c r="G16" s="42"/>
      <c r="H16" s="42"/>
      <c r="I16" s="42"/>
    </row>
    <row r="17" spans="1:9" ht="18.75" customHeight="1">
      <c r="A17" s="49">
        <v>14</v>
      </c>
      <c r="B17" s="42" t="s">
        <v>66</v>
      </c>
      <c r="C17" s="42"/>
      <c r="D17" s="42"/>
      <c r="E17" s="42"/>
      <c r="F17" s="42"/>
      <c r="G17" s="42"/>
      <c r="H17" s="42"/>
      <c r="I17" s="55"/>
    </row>
    <row r="18" spans="1:9" ht="16.5" customHeight="1">
      <c r="A18" s="49">
        <v>15</v>
      </c>
      <c r="B18" s="42" t="s">
        <v>129</v>
      </c>
      <c r="C18" s="43">
        <f>C28</f>
        <v>66832165</v>
      </c>
      <c r="D18" s="43">
        <f t="shared" ref="D18:G18" si="4">D28</f>
        <v>14675386</v>
      </c>
      <c r="E18" s="43">
        <f t="shared" si="4"/>
        <v>50615554</v>
      </c>
      <c r="F18" s="43">
        <f t="shared" si="4"/>
        <v>28620544</v>
      </c>
      <c r="G18" s="43">
        <f t="shared" si="4"/>
        <v>3581986</v>
      </c>
      <c r="H18" s="43"/>
      <c r="I18" s="57" t="s">
        <v>145</v>
      </c>
    </row>
    <row r="19" spans="1:9">
      <c r="A19" s="49">
        <v>16</v>
      </c>
      <c r="B19" s="42" t="s">
        <v>74</v>
      </c>
      <c r="C19" s="43">
        <f>C29+C30</f>
        <v>-3751070.636771631</v>
      </c>
      <c r="D19" s="43">
        <f>D29+D30</f>
        <v>-790755.70667395089</v>
      </c>
      <c r="E19" s="43">
        <f t="shared" ref="E19:G19" si="5">E29+E30</f>
        <v>-2758410.2055656454</v>
      </c>
      <c r="F19" s="43">
        <f t="shared" si="5"/>
        <v>-1599639.5731626598</v>
      </c>
      <c r="G19" s="43">
        <f t="shared" si="5"/>
        <v>-198947.96338993366</v>
      </c>
      <c r="H19" s="43"/>
      <c r="I19" s="57"/>
    </row>
    <row r="20" spans="1:9">
      <c r="A20" s="49">
        <v>17</v>
      </c>
      <c r="B20" s="42" t="s">
        <v>139</v>
      </c>
      <c r="C20" s="43">
        <f>C33</f>
        <v>9873642</v>
      </c>
      <c r="D20" s="43">
        <f t="shared" ref="D20:G20" si="6">D33</f>
        <v>3079597</v>
      </c>
      <c r="E20" s="43">
        <f t="shared" si="6"/>
        <v>9760983</v>
      </c>
      <c r="F20" s="43">
        <f t="shared" si="6"/>
        <v>4414855</v>
      </c>
      <c r="G20" s="43">
        <f t="shared" si="6"/>
        <v>587240</v>
      </c>
      <c r="H20" s="43"/>
      <c r="I20" s="57"/>
    </row>
    <row r="21" spans="1:9" ht="16.5" customHeight="1">
      <c r="A21" s="49">
        <v>18</v>
      </c>
      <c r="B21" s="42" t="s">
        <v>74</v>
      </c>
      <c r="C21" s="43">
        <f>C34+C35</f>
        <v>-606288.21205827326</v>
      </c>
      <c r="D21" s="43">
        <f>D34+D35</f>
        <v>-167517.3367053961</v>
      </c>
      <c r="E21" s="43">
        <f t="shared" ref="E21:G21" si="7">E34+E35</f>
        <v>-545305.9221171122</v>
      </c>
      <c r="F21" s="43">
        <f t="shared" si="7"/>
        <v>-266676.00618598028</v>
      </c>
      <c r="G21" s="43">
        <f t="shared" si="7"/>
        <v>-34684.576831075807</v>
      </c>
      <c r="H21" s="43"/>
      <c r="I21" s="57"/>
    </row>
    <row r="22" spans="1:9">
      <c r="A22" s="49">
        <v>19</v>
      </c>
      <c r="B22" s="42" t="s">
        <v>140</v>
      </c>
      <c r="C22" s="44">
        <f>SUM(C18:C21)</f>
        <v>72348448.15117009</v>
      </c>
      <c r="D22" s="44">
        <f t="shared" ref="D22:E22" si="8">SUM(D18:D21)</f>
        <v>16796709.956620652</v>
      </c>
      <c r="E22" s="44">
        <f t="shared" si="8"/>
        <v>57072820.87231724</v>
      </c>
      <c r="F22" s="44">
        <f t="shared" ref="F22:G22" si="9">SUM(F18:F21)</f>
        <v>31169083.420651361</v>
      </c>
      <c r="G22" s="44">
        <f t="shared" si="9"/>
        <v>3935593.4597789906</v>
      </c>
      <c r="H22" s="58"/>
      <c r="I22" s="57"/>
    </row>
    <row r="23" spans="1:9">
      <c r="A23" s="49">
        <v>20</v>
      </c>
      <c r="B23" s="42"/>
      <c r="C23" s="58"/>
      <c r="D23" s="58"/>
      <c r="E23" s="58"/>
      <c r="F23" s="58"/>
      <c r="G23" s="58"/>
      <c r="H23" s="58"/>
      <c r="I23" s="57"/>
    </row>
    <row r="24" spans="1:9">
      <c r="A24" s="49">
        <v>21</v>
      </c>
      <c r="B24" s="42" t="s">
        <v>141</v>
      </c>
      <c r="C24" s="43"/>
      <c r="D24" s="43"/>
      <c r="E24" s="42"/>
      <c r="F24" s="42"/>
      <c r="G24" s="42"/>
      <c r="H24" s="42"/>
      <c r="I24" s="42"/>
    </row>
    <row r="25" spans="1:9">
      <c r="A25" s="49">
        <v>22</v>
      </c>
      <c r="B25" s="42" t="s">
        <v>131</v>
      </c>
      <c r="C25" s="59">
        <f>4926193/107593661</f>
        <v>4.5785160149908834E-2</v>
      </c>
      <c r="D25" s="59">
        <f>1029900/22494187</f>
        <v>4.5785162184345668E-2</v>
      </c>
      <c r="E25" s="59">
        <f>3414977/74586967</f>
        <v>4.5785170484275085E-2</v>
      </c>
      <c r="F25" s="59">
        <f>1893990/41366901</f>
        <v>4.5785155624783205E-2</v>
      </c>
      <c r="G25" s="59">
        <f>230820/5041373</f>
        <v>4.5785146229013404E-2</v>
      </c>
      <c r="H25" s="59"/>
      <c r="I25" s="42" t="s">
        <v>133</v>
      </c>
    </row>
    <row r="26" spans="1:9">
      <c r="A26" s="49">
        <v>23</v>
      </c>
      <c r="B26" s="42" t="s">
        <v>132</v>
      </c>
      <c r="C26" s="59">
        <f>727785/15895659</f>
        <v>4.5785141716993299E-2</v>
      </c>
      <c r="D26" s="59">
        <f>216122/4720355</f>
        <v>4.5785115738117152E-2</v>
      </c>
      <c r="E26" s="59">
        <f>658563/14383763</f>
        <v>4.5785167622686779E-2</v>
      </c>
      <c r="F26" s="59">
        <f>292157/6381042</f>
        <v>4.5785155465204584E-2</v>
      </c>
      <c r="G26" s="59">
        <f>37841/826495</f>
        <v>4.5784910979497759E-2</v>
      </c>
      <c r="H26" s="59"/>
      <c r="I26" s="42" t="s">
        <v>134</v>
      </c>
    </row>
    <row r="27" spans="1:9">
      <c r="A27" s="49">
        <v>24</v>
      </c>
      <c r="B27" s="42"/>
      <c r="C27" s="42"/>
      <c r="D27" s="42"/>
      <c r="E27" s="42"/>
      <c r="F27" s="42"/>
      <c r="G27" s="42"/>
      <c r="H27" s="42"/>
      <c r="I27" s="42"/>
    </row>
    <row r="28" spans="1:9">
      <c r="A28" s="49">
        <v>25</v>
      </c>
      <c r="B28" s="42" t="s">
        <v>125</v>
      </c>
      <c r="C28" s="43">
        <v>66832165</v>
      </c>
      <c r="D28" s="43">
        <v>14675386</v>
      </c>
      <c r="E28" s="43">
        <v>50615554</v>
      </c>
      <c r="F28" s="43">
        <v>28620544</v>
      </c>
      <c r="G28" s="43">
        <v>3581986</v>
      </c>
      <c r="H28" s="43"/>
      <c r="I28" s="42" t="s">
        <v>137</v>
      </c>
    </row>
    <row r="29" spans="1:9">
      <c r="A29" s="49">
        <v>26</v>
      </c>
      <c r="B29" s="42" t="s">
        <v>123</v>
      </c>
      <c r="C29" s="43">
        <v>-724312</v>
      </c>
      <c r="D29" s="43">
        <v>-124543</v>
      </c>
      <c r="E29" s="43">
        <v>-462127</v>
      </c>
      <c r="F29" s="43">
        <v>-303122</v>
      </c>
      <c r="G29" s="43">
        <v>-36623</v>
      </c>
      <c r="H29" s="43"/>
      <c r="I29" s="42" t="s">
        <v>135</v>
      </c>
    </row>
    <row r="30" spans="1:9">
      <c r="A30" s="49">
        <v>27</v>
      </c>
      <c r="B30" s="42" t="s">
        <v>124</v>
      </c>
      <c r="C30" s="43">
        <f>(C28+C29)*-C25</f>
        <v>-3026758.636771631</v>
      </c>
      <c r="D30" s="43">
        <f>(D28+D29)*-D25</f>
        <v>-666212.70667395089</v>
      </c>
      <c r="E30" s="43">
        <f t="shared" ref="E30:G30" si="10">(E28+E29)*-E25</f>
        <v>-2296283.2055656454</v>
      </c>
      <c r="F30" s="43">
        <f t="shared" si="10"/>
        <v>-1296517.5731626598</v>
      </c>
      <c r="G30" s="43">
        <f t="shared" si="10"/>
        <v>-162324.96338993366</v>
      </c>
      <c r="H30" s="43"/>
      <c r="I30" s="42" t="s">
        <v>136</v>
      </c>
    </row>
    <row r="31" spans="1:9">
      <c r="A31" s="49">
        <v>28</v>
      </c>
      <c r="B31" s="42" t="s">
        <v>126</v>
      </c>
      <c r="C31" s="44">
        <f>SUM(C28:C30)</f>
        <v>63081094.363228366</v>
      </c>
      <c r="D31" s="44">
        <f>SUM(D28:D30)</f>
        <v>13884630.29332605</v>
      </c>
      <c r="E31" s="44">
        <f t="shared" ref="E31:G31" si="11">SUM(E28:E30)</f>
        <v>47857143.794434354</v>
      </c>
      <c r="F31" s="44">
        <f t="shared" si="11"/>
        <v>27020904.42683734</v>
      </c>
      <c r="G31" s="44">
        <f t="shared" si="11"/>
        <v>3383038.0366100664</v>
      </c>
      <c r="H31" s="58"/>
      <c r="I31" s="42"/>
    </row>
    <row r="32" spans="1:9">
      <c r="A32" s="49">
        <v>29</v>
      </c>
      <c r="B32" s="42"/>
      <c r="C32" s="42"/>
      <c r="D32" s="42"/>
      <c r="E32" s="42"/>
      <c r="F32" s="42"/>
      <c r="G32" s="42"/>
      <c r="H32" s="42"/>
      <c r="I32" s="42"/>
    </row>
    <row r="33" spans="1:9">
      <c r="A33" s="49">
        <v>30</v>
      </c>
      <c r="B33" s="42" t="s">
        <v>127</v>
      </c>
      <c r="C33" s="43">
        <v>9873642</v>
      </c>
      <c r="D33" s="43">
        <v>3079597</v>
      </c>
      <c r="E33" s="43">
        <v>9760983</v>
      </c>
      <c r="F33" s="43">
        <v>4414855</v>
      </c>
      <c r="G33" s="43">
        <v>587240</v>
      </c>
      <c r="H33" s="43"/>
      <c r="I33" s="42" t="s">
        <v>138</v>
      </c>
    </row>
    <row r="34" spans="1:9">
      <c r="A34" s="49">
        <v>31</v>
      </c>
      <c r="B34" s="42" t="s">
        <v>123</v>
      </c>
      <c r="C34" s="43">
        <v>-161622</v>
      </c>
      <c r="D34" s="43">
        <v>-27790</v>
      </c>
      <c r="E34" s="43">
        <v>-103119</v>
      </c>
      <c r="F34" s="43">
        <v>-67638</v>
      </c>
      <c r="G34" s="43">
        <v>-8172</v>
      </c>
      <c r="H34" s="43"/>
      <c r="I34" s="42" t="s">
        <v>135</v>
      </c>
    </row>
    <row r="35" spans="1:9">
      <c r="A35" s="49">
        <v>32</v>
      </c>
      <c r="B35" s="42" t="s">
        <v>124</v>
      </c>
      <c r="C35" s="43">
        <f>(C33+C34)*-C26</f>
        <v>-444666.21205827326</v>
      </c>
      <c r="D35" s="43">
        <f>(D33+D34)*-D26</f>
        <v>-139727.3367053961</v>
      </c>
      <c r="E35" s="43">
        <f t="shared" ref="E35:G35" si="12">(E33+E34)*-E26</f>
        <v>-442186.9221171122</v>
      </c>
      <c r="F35" s="43">
        <f t="shared" si="12"/>
        <v>-199038.00618598028</v>
      </c>
      <c r="G35" s="43">
        <f t="shared" si="12"/>
        <v>-26512.576831075807</v>
      </c>
      <c r="H35" s="43"/>
      <c r="I35" s="42" t="s">
        <v>136</v>
      </c>
    </row>
    <row r="36" spans="1:9">
      <c r="A36" s="49">
        <v>33</v>
      </c>
      <c r="B36" s="42" t="s">
        <v>128</v>
      </c>
      <c r="C36" s="44">
        <f>SUM(C33:C35)</f>
        <v>9267353.7879417259</v>
      </c>
      <c r="D36" s="44">
        <f>SUM(D33:D35)</f>
        <v>2912079.663294604</v>
      </c>
      <c r="E36" s="44">
        <f t="shared" ref="E36:G36" si="13">SUM(E33:E35)</f>
        <v>9215677.0778828878</v>
      </c>
      <c r="F36" s="44">
        <f t="shared" si="13"/>
        <v>4148178.9938140195</v>
      </c>
      <c r="G36" s="44">
        <f t="shared" si="13"/>
        <v>552555.42316892417</v>
      </c>
      <c r="H36" s="58"/>
      <c r="I36" s="42"/>
    </row>
    <row r="38" spans="1:9">
      <c r="C38" s="19"/>
      <c r="D38" s="19"/>
    </row>
    <row r="39" spans="1:9">
      <c r="C39" s="18"/>
      <c r="D39" s="18"/>
    </row>
    <row r="40" spans="1:9">
      <c r="C40" s="18"/>
      <c r="D40" s="18"/>
    </row>
    <row r="41" spans="1:9">
      <c r="C41" s="18"/>
      <c r="D41" s="18"/>
    </row>
    <row r="42" spans="1:9">
      <c r="C42" s="19"/>
      <c r="D42" s="19"/>
    </row>
    <row r="43" spans="1:9">
      <c r="C43" s="32"/>
      <c r="D43" s="32"/>
    </row>
    <row r="44" spans="1:9">
      <c r="C44" s="32"/>
      <c r="D44" s="32"/>
    </row>
    <row r="47" spans="1:9">
      <c r="B47" s="2" t="s">
        <v>66</v>
      </c>
    </row>
    <row r="48" spans="1:9">
      <c r="B48" s="2" t="s">
        <v>129</v>
      </c>
      <c r="C48" s="40">
        <v>107593661</v>
      </c>
      <c r="D48" s="40">
        <v>22494187</v>
      </c>
      <c r="E48" s="40">
        <v>74586967</v>
      </c>
      <c r="F48" s="40"/>
      <c r="G48" s="40"/>
      <c r="H48" s="40"/>
      <c r="I48" s="2" t="s">
        <v>61</v>
      </c>
    </row>
    <row r="49" spans="2:9">
      <c r="B49" s="2" t="s">
        <v>74</v>
      </c>
      <c r="C49" s="40">
        <f>-4926193-1166076</f>
        <v>-6092269</v>
      </c>
      <c r="D49" s="40">
        <f>-1029900-190897</f>
        <v>-1220797</v>
      </c>
      <c r="E49" s="40">
        <f>-3414977-680990</f>
        <v>-4095967</v>
      </c>
      <c r="F49" s="40"/>
      <c r="G49" s="40"/>
      <c r="H49" s="40"/>
      <c r="I49" s="2" t="s">
        <v>64</v>
      </c>
    </row>
    <row r="50" spans="2:9">
      <c r="B50" s="2" t="s">
        <v>53</v>
      </c>
      <c r="C50" s="40">
        <v>15895659</v>
      </c>
      <c r="D50" s="40">
        <v>4720355</v>
      </c>
      <c r="E50" s="40">
        <v>14383763</v>
      </c>
      <c r="F50" s="40"/>
      <c r="G50" s="40"/>
      <c r="H50" s="40"/>
      <c r="I50" s="2" t="s">
        <v>62</v>
      </c>
    </row>
    <row r="51" spans="2:9">
      <c r="B51" s="2" t="s">
        <v>74</v>
      </c>
      <c r="C51" s="40">
        <f>-698737-260197</f>
        <v>-958934</v>
      </c>
      <c r="D51" s="40">
        <f>-216122-42596</f>
        <v>-258718</v>
      </c>
      <c r="E51" s="40">
        <f>-658563-151955</f>
        <v>-810518</v>
      </c>
      <c r="F51" s="40"/>
      <c r="G51" s="40"/>
      <c r="H51" s="40"/>
      <c r="I51" s="2" t="s">
        <v>63</v>
      </c>
    </row>
    <row r="52" spans="2:9">
      <c r="B52" s="2" t="s">
        <v>12</v>
      </c>
      <c r="C52" s="10">
        <f>SUM(C48:C51)</f>
        <v>116438117</v>
      </c>
      <c r="D52" s="10">
        <f t="shared" ref="D52:E52" si="14">SUM(D48:D51)</f>
        <v>25735027</v>
      </c>
      <c r="E52" s="10">
        <f t="shared" si="14"/>
        <v>84064245</v>
      </c>
      <c r="F52" s="41"/>
      <c r="G52" s="41"/>
      <c r="H52" s="41"/>
    </row>
    <row r="55" spans="2:9">
      <c r="B55" s="2" t="s">
        <v>67</v>
      </c>
      <c r="C55" s="2" t="s">
        <v>70</v>
      </c>
      <c r="D55" s="2" t="s">
        <v>71</v>
      </c>
      <c r="I55" s="21" t="s">
        <v>68</v>
      </c>
    </row>
    <row r="56" spans="2:9">
      <c r="B56" s="2" t="s">
        <v>69</v>
      </c>
      <c r="C56" s="18">
        <v>252145443</v>
      </c>
      <c r="D56" s="18">
        <v>42400273</v>
      </c>
      <c r="I56" s="20">
        <f>SUM(C56:E56)</f>
        <v>294545716</v>
      </c>
    </row>
    <row r="57" spans="2:9">
      <c r="B57" s="2" t="s">
        <v>52</v>
      </c>
      <c r="C57" s="18">
        <v>-11544521</v>
      </c>
      <c r="D57" s="18">
        <v>-1941303</v>
      </c>
      <c r="I57" s="20">
        <f>SUM(C57:E57)</f>
        <v>-13485824</v>
      </c>
    </row>
    <row r="58" spans="2:9">
      <c r="B58" s="2" t="s">
        <v>72</v>
      </c>
      <c r="C58" s="18">
        <v>-2537777</v>
      </c>
      <c r="D58" s="18">
        <v>-566276</v>
      </c>
      <c r="I58" s="20">
        <f>SUM(C58:E58)</f>
        <v>-3104053</v>
      </c>
    </row>
    <row r="59" spans="2:9">
      <c r="B59" s="2" t="s">
        <v>75</v>
      </c>
      <c r="I59" s="19">
        <f>960161-465000</f>
        <v>495161</v>
      </c>
    </row>
    <row r="60" spans="2:9">
      <c r="B60" s="2" t="s">
        <v>73</v>
      </c>
      <c r="I60" s="10">
        <f>SUM(I56:I59)</f>
        <v>278451000</v>
      </c>
    </row>
  </sheetData>
  <mergeCells count="1">
    <mergeCell ref="I18:I23"/>
  </mergeCells>
  <pageMargins left="0.7" right="0.7" top="0.75" bottom="0.75" header="0.3" footer="0.3"/>
  <pageSetup scale="57" orientation="landscape" r:id="rId1"/>
  <headerFooter>
    <oddHeader>&amp;RExhibit No. ____(PDE-10)</oddHeader>
    <oddFooter>&amp;RPage &amp;P of &amp;N</oddFooter>
  </headerFooter>
  <legacyDrawing r:id="rId2"/>
</worksheet>
</file>

<file path=xl/worksheets/sheet2.xml><?xml version="1.0" encoding="utf-8"?>
<worksheet xmlns="http://schemas.openxmlformats.org/spreadsheetml/2006/main" xmlns:r="http://schemas.openxmlformats.org/officeDocument/2006/relationships">
  <sheetPr>
    <tabColor rgb="FFFF0000"/>
  </sheetPr>
  <dimension ref="B1:M131"/>
  <sheetViews>
    <sheetView zoomScaleNormal="100" zoomScaleSheetLayoutView="100" workbookViewId="0">
      <selection activeCell="H23" sqref="H23"/>
    </sheetView>
  </sheetViews>
  <sheetFormatPr defaultRowHeight="15.75"/>
  <cols>
    <col min="1" max="1" width="5" style="42" customWidth="1"/>
    <col min="2" max="2" width="34.28515625" style="42" customWidth="1"/>
    <col min="3" max="3" width="14.140625" style="42" customWidth="1"/>
    <col min="4" max="4" width="19.85546875" style="42" bestFit="1" customWidth="1"/>
    <col min="5" max="5" width="11.140625" style="42" customWidth="1"/>
    <col min="6" max="6" width="28" style="42" customWidth="1"/>
    <col min="7" max="11" width="9.140625" style="42"/>
    <col min="12" max="12" width="15.5703125" style="42" customWidth="1"/>
    <col min="13" max="16384" width="9.140625" style="42"/>
  </cols>
  <sheetData>
    <row r="1" spans="2:7">
      <c r="B1" s="60" t="s">
        <v>13</v>
      </c>
    </row>
    <row r="2" spans="2:7">
      <c r="B2" s="61" t="s">
        <v>158</v>
      </c>
    </row>
    <row r="3" spans="2:7">
      <c r="B3" s="61"/>
    </row>
    <row r="4" spans="2:7">
      <c r="B4" s="60" t="s">
        <v>14</v>
      </c>
    </row>
    <row r="6" spans="2:7">
      <c r="B6" s="50" t="s">
        <v>15</v>
      </c>
      <c r="C6" s="50" t="s">
        <v>16</v>
      </c>
      <c r="D6" s="50" t="s">
        <v>2</v>
      </c>
    </row>
    <row r="7" spans="2:7">
      <c r="B7" s="42" t="s">
        <v>122</v>
      </c>
      <c r="C7" s="42" t="s">
        <v>18</v>
      </c>
      <c r="D7" s="8">
        <f>'Page 1'!C8</f>
        <v>104436354.14335792</v>
      </c>
    </row>
    <row r="8" spans="2:7">
      <c r="B8" s="42" t="s">
        <v>19</v>
      </c>
      <c r="C8" s="42" t="s">
        <v>18</v>
      </c>
      <c r="D8" s="43">
        <f>2408119/12</f>
        <v>200676.58333333334</v>
      </c>
    </row>
    <row r="9" spans="2:7">
      <c r="B9" s="42" t="s">
        <v>20</v>
      </c>
      <c r="D9" s="62">
        <f>D7/D8</f>
        <v>520.42122906729071</v>
      </c>
      <c r="G9" s="63"/>
    </row>
    <row r="10" spans="2:7">
      <c r="B10" s="42" t="s">
        <v>161</v>
      </c>
      <c r="D10" s="64">
        <f>D7/D25</f>
        <v>4.3504267649943001E-2</v>
      </c>
    </row>
    <row r="11" spans="2:7">
      <c r="D11" s="64"/>
    </row>
    <row r="12" spans="2:7">
      <c r="C12" s="51" t="s">
        <v>21</v>
      </c>
      <c r="D12" s="51" t="s">
        <v>22</v>
      </c>
      <c r="E12" s="51" t="s">
        <v>163</v>
      </c>
      <c r="F12" s="51" t="s">
        <v>162</v>
      </c>
    </row>
    <row r="13" spans="2:7">
      <c r="B13" s="42" t="s">
        <v>23</v>
      </c>
      <c r="C13" s="65">
        <f>$D$9/12</f>
        <v>43.368435755607557</v>
      </c>
      <c r="D13" s="43">
        <v>276539604</v>
      </c>
      <c r="E13" s="64">
        <f>$D$7/12/D13</f>
        <v>3.1471186716339167E-2</v>
      </c>
      <c r="F13" s="8">
        <f>E13*D13</f>
        <v>8703029.5119464938</v>
      </c>
    </row>
    <row r="14" spans="2:7">
      <c r="B14" s="42" t="s">
        <v>24</v>
      </c>
      <c r="C14" s="62">
        <f t="shared" ref="C14:C24" si="0">$D$9/12</f>
        <v>43.368435755607557</v>
      </c>
      <c r="D14" s="43">
        <v>235832411</v>
      </c>
      <c r="E14" s="64">
        <f t="shared" ref="E14:E24" si="1">$D$7/12/D14</f>
        <v>3.6903449678706353E-2</v>
      </c>
      <c r="F14" s="8">
        <f t="shared" ref="F14:F24" si="2">E14*D14</f>
        <v>8703029.5119464938</v>
      </c>
    </row>
    <row r="15" spans="2:7">
      <c r="B15" s="42" t="s">
        <v>25</v>
      </c>
      <c r="C15" s="62">
        <f t="shared" si="0"/>
        <v>43.368435755607557</v>
      </c>
      <c r="D15" s="43">
        <v>213222124</v>
      </c>
      <c r="E15" s="64">
        <f t="shared" si="1"/>
        <v>4.081672834262965E-2</v>
      </c>
      <c r="F15" s="8">
        <f t="shared" si="2"/>
        <v>8703029.5119464938</v>
      </c>
    </row>
    <row r="16" spans="2:7">
      <c r="B16" s="42" t="s">
        <v>26</v>
      </c>
      <c r="C16" s="62">
        <f t="shared" si="0"/>
        <v>43.368435755607557</v>
      </c>
      <c r="D16" s="43">
        <v>185245727</v>
      </c>
      <c r="E16" s="64">
        <f t="shared" si="1"/>
        <v>4.6981000063480514E-2</v>
      </c>
      <c r="F16" s="8">
        <f t="shared" si="2"/>
        <v>8703029.5119464938</v>
      </c>
    </row>
    <row r="17" spans="2:13">
      <c r="B17" s="42" t="s">
        <v>27</v>
      </c>
      <c r="C17" s="62">
        <f t="shared" si="0"/>
        <v>43.368435755607557</v>
      </c>
      <c r="D17" s="43">
        <v>147665299</v>
      </c>
      <c r="E17" s="64">
        <f t="shared" si="1"/>
        <v>5.8937540308278476E-2</v>
      </c>
      <c r="F17" s="8">
        <f t="shared" si="2"/>
        <v>8703029.5119464938</v>
      </c>
    </row>
    <row r="18" spans="2:13">
      <c r="B18" s="42" t="s">
        <v>28</v>
      </c>
      <c r="C18" s="62">
        <f t="shared" si="0"/>
        <v>43.368435755607557</v>
      </c>
      <c r="D18" s="43">
        <v>152558899</v>
      </c>
      <c r="E18" s="64">
        <f t="shared" si="1"/>
        <v>5.7047013114236579E-2</v>
      </c>
      <c r="F18" s="8">
        <f t="shared" si="2"/>
        <v>8703029.5119464938</v>
      </c>
    </row>
    <row r="19" spans="2:13">
      <c r="B19" s="42" t="s">
        <v>29</v>
      </c>
      <c r="C19" s="62">
        <f t="shared" si="0"/>
        <v>43.368435755607557</v>
      </c>
      <c r="D19" s="43">
        <v>162975931</v>
      </c>
      <c r="E19" s="64">
        <f t="shared" si="1"/>
        <v>5.3400704377301537E-2</v>
      </c>
      <c r="F19" s="8">
        <f t="shared" si="2"/>
        <v>8703029.5119464938</v>
      </c>
    </row>
    <row r="20" spans="2:13">
      <c r="B20" s="42" t="s">
        <v>30</v>
      </c>
      <c r="C20" s="62">
        <f t="shared" si="0"/>
        <v>43.368435755607557</v>
      </c>
      <c r="D20" s="43">
        <v>190378845</v>
      </c>
      <c r="E20" s="64">
        <f t="shared" si="1"/>
        <v>4.5714267842871373E-2</v>
      </c>
      <c r="F20" s="8">
        <f t="shared" si="2"/>
        <v>8703029.5119464938</v>
      </c>
    </row>
    <row r="21" spans="2:13">
      <c r="B21" s="42" t="s">
        <v>31</v>
      </c>
      <c r="C21" s="62">
        <f t="shared" si="0"/>
        <v>43.368435755607557</v>
      </c>
      <c r="D21" s="43">
        <v>155122111</v>
      </c>
      <c r="E21" s="64">
        <f t="shared" si="1"/>
        <v>5.6104377743715038E-2</v>
      </c>
      <c r="F21" s="8">
        <f t="shared" si="2"/>
        <v>8703029.5119464938</v>
      </c>
    </row>
    <row r="22" spans="2:13">
      <c r="B22" s="42" t="s">
        <v>32</v>
      </c>
      <c r="C22" s="62">
        <f t="shared" si="0"/>
        <v>43.368435755607557</v>
      </c>
      <c r="D22" s="43">
        <v>175714083</v>
      </c>
      <c r="E22" s="64">
        <f t="shared" si="1"/>
        <v>4.9529493386972823E-2</v>
      </c>
      <c r="F22" s="8">
        <f t="shared" si="2"/>
        <v>8703029.5119464938</v>
      </c>
    </row>
    <row r="23" spans="2:13">
      <c r="B23" s="42" t="s">
        <v>33</v>
      </c>
      <c r="C23" s="62">
        <f t="shared" si="0"/>
        <v>43.368435755607557</v>
      </c>
      <c r="D23" s="43">
        <v>214007821</v>
      </c>
      <c r="E23" s="64">
        <f t="shared" si="1"/>
        <v>4.0666875964063452E-2</v>
      </c>
      <c r="F23" s="8">
        <f t="shared" si="2"/>
        <v>8703029.5119464938</v>
      </c>
    </row>
    <row r="24" spans="2:13">
      <c r="B24" s="42" t="s">
        <v>34</v>
      </c>
      <c r="C24" s="62">
        <f t="shared" si="0"/>
        <v>43.368435755607557</v>
      </c>
      <c r="D24" s="43">
        <v>291337357</v>
      </c>
      <c r="E24" s="64">
        <f t="shared" si="1"/>
        <v>2.9872686433228313E-2</v>
      </c>
      <c r="F24" s="8">
        <f t="shared" si="2"/>
        <v>8703029.5119464938</v>
      </c>
    </row>
    <row r="25" spans="2:13">
      <c r="C25" s="66">
        <f>SUM(C13:C24)</f>
        <v>520.42122906729071</v>
      </c>
      <c r="D25" s="67">
        <f>SUM(D13:D24)</f>
        <v>2400600212</v>
      </c>
      <c r="E25" s="64"/>
      <c r="F25" s="68">
        <f>SUM(F13:F24)</f>
        <v>104436354.14335795</v>
      </c>
    </row>
    <row r="26" spans="2:13">
      <c r="L26" s="43">
        <f>D25/D8</f>
        <v>11962.532808386961</v>
      </c>
      <c r="M26" s="42" t="s">
        <v>147</v>
      </c>
    </row>
    <row r="27" spans="2:13">
      <c r="L27" s="69">
        <f>L26/12</f>
        <v>996.87773403224674</v>
      </c>
      <c r="M27" s="42" t="s">
        <v>148</v>
      </c>
    </row>
    <row r="28" spans="2:13">
      <c r="B28" s="60"/>
    </row>
    <row r="30" spans="2:13">
      <c r="B30" s="60" t="s">
        <v>65</v>
      </c>
    </row>
    <row r="32" spans="2:13">
      <c r="B32" s="50" t="s">
        <v>15</v>
      </c>
      <c r="C32" s="50" t="s">
        <v>16</v>
      </c>
      <c r="D32" s="50" t="s">
        <v>2</v>
      </c>
    </row>
    <row r="33" spans="2:6">
      <c r="B33" s="42" t="s">
        <v>122</v>
      </c>
      <c r="C33" s="42" t="s">
        <v>18</v>
      </c>
      <c r="D33" s="8">
        <f>'Page 1'!D8</f>
        <v>24220622.004211348</v>
      </c>
    </row>
    <row r="34" spans="2:6">
      <c r="B34" s="42" t="s">
        <v>19</v>
      </c>
      <c r="C34" s="42" t="s">
        <v>18</v>
      </c>
      <c r="D34" s="43">
        <f>329946/12</f>
        <v>27495.5</v>
      </c>
    </row>
    <row r="35" spans="2:6">
      <c r="B35" s="42" t="s">
        <v>20</v>
      </c>
      <c r="D35" s="62">
        <f>D33/D34</f>
        <v>880.89403735925328</v>
      </c>
    </row>
    <row r="36" spans="2:6">
      <c r="B36" s="42" t="s">
        <v>161</v>
      </c>
      <c r="D36" s="64">
        <f>D33/D51</f>
        <v>5.8677711912836453E-2</v>
      </c>
    </row>
    <row r="37" spans="2:6">
      <c r="D37" s="64"/>
    </row>
    <row r="38" spans="2:6">
      <c r="C38" s="51" t="s">
        <v>21</v>
      </c>
      <c r="D38" s="51" t="s">
        <v>22</v>
      </c>
      <c r="E38" s="51" t="s">
        <v>163</v>
      </c>
      <c r="F38" s="51" t="s">
        <v>162</v>
      </c>
    </row>
    <row r="39" spans="2:6">
      <c r="B39" s="42" t="s">
        <v>23</v>
      </c>
      <c r="C39" s="62">
        <f>$D$35/12</f>
        <v>73.407836446604435</v>
      </c>
      <c r="D39" s="43">
        <v>37257298</v>
      </c>
      <c r="E39" s="64">
        <f>$D$33/12/D39</f>
        <v>5.4174222913792952E-2</v>
      </c>
      <c r="F39" s="8">
        <f>E39*D39</f>
        <v>2018385.1670176124</v>
      </c>
    </row>
    <row r="40" spans="2:6">
      <c r="B40" s="42" t="s">
        <v>24</v>
      </c>
      <c r="C40" s="62">
        <f t="shared" ref="C40:C50" si="3">$D$35/12</f>
        <v>73.407836446604435</v>
      </c>
      <c r="D40" s="43">
        <v>37182022</v>
      </c>
      <c r="E40" s="64">
        <f t="shared" ref="E40:E50" si="4">$D$33/12/D40</f>
        <v>5.4283900079926055E-2</v>
      </c>
      <c r="F40" s="8">
        <f t="shared" ref="F40:F50" si="5">E40*D40</f>
        <v>2018385.1670176124</v>
      </c>
    </row>
    <row r="41" spans="2:6">
      <c r="B41" s="42" t="s">
        <v>25</v>
      </c>
      <c r="C41" s="62">
        <f t="shared" si="3"/>
        <v>73.407836446604435</v>
      </c>
      <c r="D41" s="43">
        <v>35557243</v>
      </c>
      <c r="E41" s="64">
        <f t="shared" si="4"/>
        <v>5.6764388819954693E-2</v>
      </c>
      <c r="F41" s="8">
        <f t="shared" si="5"/>
        <v>2018385.1670176124</v>
      </c>
    </row>
    <row r="42" spans="2:6">
      <c r="B42" s="42" t="s">
        <v>26</v>
      </c>
      <c r="C42" s="62">
        <f t="shared" si="3"/>
        <v>73.407836446604435</v>
      </c>
      <c r="D42" s="43">
        <v>30997441</v>
      </c>
      <c r="E42" s="64">
        <f t="shared" si="4"/>
        <v>6.5114574039115428E-2</v>
      </c>
      <c r="F42" s="8">
        <f t="shared" si="5"/>
        <v>2018385.1670176121</v>
      </c>
    </row>
    <row r="43" spans="2:6">
      <c r="B43" s="42" t="s">
        <v>27</v>
      </c>
      <c r="C43" s="62">
        <f t="shared" si="3"/>
        <v>73.407836446604435</v>
      </c>
      <c r="D43" s="43">
        <v>28451672</v>
      </c>
      <c r="E43" s="64">
        <f t="shared" si="4"/>
        <v>7.0940827906971954E-2</v>
      </c>
      <c r="F43" s="8">
        <f t="shared" si="5"/>
        <v>2018385.1670176126</v>
      </c>
    </row>
    <row r="44" spans="2:6">
      <c r="B44" s="42" t="s">
        <v>28</v>
      </c>
      <c r="C44" s="62">
        <f t="shared" si="3"/>
        <v>73.407836446604435</v>
      </c>
      <c r="D44" s="43">
        <v>29998903</v>
      </c>
      <c r="E44" s="64">
        <f t="shared" si="4"/>
        <v>6.7281965844471464E-2</v>
      </c>
      <c r="F44" s="8">
        <f t="shared" si="5"/>
        <v>2018385.1670176126</v>
      </c>
    </row>
    <row r="45" spans="2:6">
      <c r="B45" s="42" t="s">
        <v>29</v>
      </c>
      <c r="C45" s="62">
        <f t="shared" si="3"/>
        <v>73.407836446604435</v>
      </c>
      <c r="D45" s="43">
        <v>34129942</v>
      </c>
      <c r="E45" s="64">
        <f t="shared" si="4"/>
        <v>5.913825364888145E-2</v>
      </c>
      <c r="F45" s="8">
        <f t="shared" si="5"/>
        <v>2018385.1670176124</v>
      </c>
    </row>
    <row r="46" spans="2:6">
      <c r="B46" s="42" t="s">
        <v>30</v>
      </c>
      <c r="C46" s="62">
        <f t="shared" si="3"/>
        <v>73.407836446604435</v>
      </c>
      <c r="D46" s="43">
        <v>35199947</v>
      </c>
      <c r="E46" s="64">
        <f t="shared" si="4"/>
        <v>5.7340574036023759E-2</v>
      </c>
      <c r="F46" s="8">
        <f t="shared" si="5"/>
        <v>2018385.1670176124</v>
      </c>
    </row>
    <row r="47" spans="2:6">
      <c r="B47" s="42" t="s">
        <v>31</v>
      </c>
      <c r="C47" s="62">
        <f t="shared" si="3"/>
        <v>73.407836446604435</v>
      </c>
      <c r="D47" s="43">
        <v>30785832</v>
      </c>
      <c r="E47" s="64">
        <f t="shared" si="4"/>
        <v>6.5562144528613434E-2</v>
      </c>
      <c r="F47" s="8">
        <f t="shared" si="5"/>
        <v>2018385.1670176124</v>
      </c>
    </row>
    <row r="48" spans="2:6">
      <c r="B48" s="42" t="s">
        <v>32</v>
      </c>
      <c r="C48" s="62">
        <f t="shared" si="3"/>
        <v>73.407836446604435</v>
      </c>
      <c r="D48" s="43">
        <v>35241827</v>
      </c>
      <c r="E48" s="64">
        <f t="shared" si="4"/>
        <v>5.7272432754908321E-2</v>
      </c>
      <c r="F48" s="8">
        <f t="shared" si="5"/>
        <v>2018385.1670176124</v>
      </c>
    </row>
    <row r="49" spans="2:13">
      <c r="B49" s="42" t="s">
        <v>33</v>
      </c>
      <c r="C49" s="62">
        <f t="shared" si="3"/>
        <v>73.407836446604435</v>
      </c>
      <c r="D49" s="43">
        <v>36741072</v>
      </c>
      <c r="E49" s="64">
        <f t="shared" si="4"/>
        <v>5.493539129771751E-2</v>
      </c>
      <c r="F49" s="8">
        <f t="shared" si="5"/>
        <v>2018385.1670176124</v>
      </c>
    </row>
    <row r="50" spans="2:13">
      <c r="B50" s="42" t="s">
        <v>34</v>
      </c>
      <c r="C50" s="62">
        <f t="shared" si="3"/>
        <v>73.407836446604435</v>
      </c>
      <c r="D50" s="43">
        <v>41230599</v>
      </c>
      <c r="E50" s="64">
        <f t="shared" si="4"/>
        <v>4.8953573704267853E-2</v>
      </c>
      <c r="F50" s="8">
        <f t="shared" si="5"/>
        <v>2018385.1670176124</v>
      </c>
    </row>
    <row r="51" spans="2:13">
      <c r="C51" s="66">
        <f>SUM(C39:C50)</f>
        <v>880.89403735925305</v>
      </c>
      <c r="D51" s="67">
        <f>SUM(D39:D50)</f>
        <v>412773798</v>
      </c>
      <c r="E51" s="64"/>
      <c r="F51" s="68">
        <f>SUM(F39:F50)</f>
        <v>24220622.004211348</v>
      </c>
    </row>
    <row r="52" spans="2:13">
      <c r="L52" s="43">
        <f>D51/D34</f>
        <v>15012.412867560146</v>
      </c>
      <c r="M52" s="42" t="s">
        <v>147</v>
      </c>
    </row>
    <row r="53" spans="2:13">
      <c r="L53" s="69">
        <f>L52/12</f>
        <v>1251.0344056300121</v>
      </c>
      <c r="M53" s="42" t="s">
        <v>148</v>
      </c>
    </row>
    <row r="54" spans="2:13">
      <c r="B54" s="60" t="s">
        <v>13</v>
      </c>
    </row>
    <row r="55" spans="2:13">
      <c r="B55" s="61" t="s">
        <v>158</v>
      </c>
    </row>
    <row r="56" spans="2:13">
      <c r="B56" s="61"/>
    </row>
    <row r="57" spans="2:13">
      <c r="B57" s="60" t="s">
        <v>101</v>
      </c>
    </row>
    <row r="59" spans="2:13">
      <c r="B59" s="50" t="s">
        <v>15</v>
      </c>
      <c r="C59" s="50" t="s">
        <v>16</v>
      </c>
      <c r="D59" s="50" t="s">
        <v>2</v>
      </c>
    </row>
    <row r="60" spans="2:13">
      <c r="B60" s="42" t="s">
        <v>17</v>
      </c>
      <c r="C60" s="42" t="s">
        <v>18</v>
      </c>
      <c r="D60" s="8">
        <f>'Page 1'!E8</f>
        <v>41941933.328418754</v>
      </c>
    </row>
    <row r="61" spans="2:13">
      <c r="B61" s="42" t="s">
        <v>19</v>
      </c>
      <c r="C61" s="42" t="s">
        <v>18</v>
      </c>
      <c r="D61" s="43">
        <f>39303/12</f>
        <v>3275.25</v>
      </c>
    </row>
    <row r="62" spans="2:13">
      <c r="B62" s="42" t="s">
        <v>20</v>
      </c>
      <c r="D62" s="62">
        <f>D60/D61</f>
        <v>12805.719663664988</v>
      </c>
    </row>
    <row r="63" spans="2:13">
      <c r="B63" s="42" t="s">
        <v>161</v>
      </c>
      <c r="D63" s="64">
        <f>D60/D78</f>
        <v>2.7337633627167034E-2</v>
      </c>
    </row>
    <row r="64" spans="2:13">
      <c r="D64" s="64"/>
    </row>
    <row r="65" spans="2:13">
      <c r="C65" s="51" t="s">
        <v>21</v>
      </c>
      <c r="D65" s="51" t="s">
        <v>22</v>
      </c>
      <c r="E65" s="51" t="s">
        <v>163</v>
      </c>
      <c r="F65" s="51" t="s">
        <v>162</v>
      </c>
    </row>
    <row r="66" spans="2:13">
      <c r="B66" s="42" t="s">
        <v>23</v>
      </c>
      <c r="C66" s="62">
        <f>$D$62/12</f>
        <v>1067.1433053054157</v>
      </c>
      <c r="D66" s="43">
        <v>109069030</v>
      </c>
      <c r="E66" s="64">
        <f>$D$60/12/D66</f>
        <v>3.2045403820878969E-2</v>
      </c>
      <c r="F66" s="8">
        <f>E66*D66</f>
        <v>3495161.1107015628</v>
      </c>
    </row>
    <row r="67" spans="2:13">
      <c r="B67" s="42" t="s">
        <v>24</v>
      </c>
      <c r="C67" s="62">
        <f t="shared" ref="C67:C77" si="6">$D$62/12</f>
        <v>1067.1433053054157</v>
      </c>
      <c r="D67" s="43">
        <v>125611669</v>
      </c>
      <c r="E67" s="64">
        <f t="shared" ref="E67:E77" si="7">$D$60/12/D67</f>
        <v>2.7825130726521617E-2</v>
      </c>
      <c r="F67" s="8">
        <f t="shared" ref="F67:F77" si="8">E67*D67</f>
        <v>3495161.1107015628</v>
      </c>
    </row>
    <row r="68" spans="2:13">
      <c r="B68" s="42" t="s">
        <v>25</v>
      </c>
      <c r="C68" s="62">
        <f t="shared" si="6"/>
        <v>1067.1433053054157</v>
      </c>
      <c r="D68" s="43">
        <v>127541364</v>
      </c>
      <c r="E68" s="64">
        <f t="shared" si="7"/>
        <v>2.7404137772131423E-2</v>
      </c>
      <c r="F68" s="8">
        <f t="shared" si="8"/>
        <v>3495161.1107015628</v>
      </c>
    </row>
    <row r="69" spans="2:13">
      <c r="B69" s="42" t="s">
        <v>26</v>
      </c>
      <c r="C69" s="62">
        <f t="shared" si="6"/>
        <v>1067.1433053054157</v>
      </c>
      <c r="D69" s="43">
        <v>120812021</v>
      </c>
      <c r="E69" s="64">
        <f t="shared" si="7"/>
        <v>2.8930573975759936E-2</v>
      </c>
      <c r="F69" s="8">
        <f t="shared" si="8"/>
        <v>3495161.1107015628</v>
      </c>
    </row>
    <row r="70" spans="2:13">
      <c r="B70" s="42" t="s">
        <v>27</v>
      </c>
      <c r="C70" s="62">
        <f t="shared" si="6"/>
        <v>1067.1433053054157</v>
      </c>
      <c r="D70" s="43">
        <v>117174315</v>
      </c>
      <c r="E70" s="64">
        <f t="shared" si="7"/>
        <v>2.9828730901491192E-2</v>
      </c>
      <c r="F70" s="8">
        <f t="shared" si="8"/>
        <v>3495161.1107015628</v>
      </c>
    </row>
    <row r="71" spans="2:13">
      <c r="B71" s="42" t="s">
        <v>28</v>
      </c>
      <c r="C71" s="62">
        <f t="shared" si="6"/>
        <v>1067.1433053054157</v>
      </c>
      <c r="D71" s="43">
        <v>126129572</v>
      </c>
      <c r="E71" s="64">
        <f t="shared" si="7"/>
        <v>2.7710877435638669E-2</v>
      </c>
      <c r="F71" s="8">
        <f t="shared" si="8"/>
        <v>3495161.1107015628</v>
      </c>
    </row>
    <row r="72" spans="2:13">
      <c r="B72" s="42" t="s">
        <v>29</v>
      </c>
      <c r="C72" s="62">
        <f t="shared" si="6"/>
        <v>1067.1433053054157</v>
      </c>
      <c r="D72" s="43">
        <v>140219700</v>
      </c>
      <c r="E72" s="64">
        <f t="shared" si="7"/>
        <v>2.4926319987145621E-2</v>
      </c>
      <c r="F72" s="8">
        <f t="shared" si="8"/>
        <v>3495161.1107015628</v>
      </c>
    </row>
    <row r="73" spans="2:13">
      <c r="B73" s="42" t="s">
        <v>30</v>
      </c>
      <c r="C73" s="62">
        <f t="shared" si="6"/>
        <v>1067.1433053054157</v>
      </c>
      <c r="D73" s="43">
        <v>139609307</v>
      </c>
      <c r="E73" s="64">
        <f t="shared" si="7"/>
        <v>2.5035301627144117E-2</v>
      </c>
      <c r="F73" s="8">
        <f t="shared" si="8"/>
        <v>3495161.1107015624</v>
      </c>
    </row>
    <row r="74" spans="2:13">
      <c r="B74" s="42" t="s">
        <v>31</v>
      </c>
      <c r="C74" s="62">
        <f t="shared" si="6"/>
        <v>1067.1433053054157</v>
      </c>
      <c r="D74" s="43">
        <v>121911761</v>
      </c>
      <c r="E74" s="64">
        <f t="shared" si="7"/>
        <v>2.8669597436965601E-2</v>
      </c>
      <c r="F74" s="8">
        <f t="shared" si="8"/>
        <v>3495161.1107015628</v>
      </c>
    </row>
    <row r="75" spans="2:13">
      <c r="B75" s="42" t="s">
        <v>32</v>
      </c>
      <c r="C75" s="62">
        <f t="shared" si="6"/>
        <v>1067.1433053054157</v>
      </c>
      <c r="D75" s="43">
        <v>144022188</v>
      </c>
      <c r="E75" s="64">
        <f t="shared" si="7"/>
        <v>2.4268212830522773E-2</v>
      </c>
      <c r="F75" s="8">
        <f t="shared" si="8"/>
        <v>3495161.1107015628</v>
      </c>
    </row>
    <row r="76" spans="2:13">
      <c r="B76" s="42" t="s">
        <v>33</v>
      </c>
      <c r="C76" s="62">
        <f t="shared" si="6"/>
        <v>1067.1433053054157</v>
      </c>
      <c r="D76" s="43">
        <v>138556742</v>
      </c>
      <c r="E76" s="64">
        <f t="shared" si="7"/>
        <v>2.5225485676485977E-2</v>
      </c>
      <c r="F76" s="8">
        <f t="shared" si="8"/>
        <v>3495161.1107015628</v>
      </c>
    </row>
    <row r="77" spans="2:13">
      <c r="B77" s="42" t="s">
        <v>34</v>
      </c>
      <c r="C77" s="62">
        <f t="shared" si="6"/>
        <v>1067.1433053054157</v>
      </c>
      <c r="D77" s="43">
        <v>123561931</v>
      </c>
      <c r="E77" s="64">
        <f t="shared" si="7"/>
        <v>2.828671486771733E-2</v>
      </c>
      <c r="F77" s="8">
        <f t="shared" si="8"/>
        <v>3495161.1107015628</v>
      </c>
    </row>
    <row r="78" spans="2:13">
      <c r="C78" s="66">
        <f>SUM(C66:C77)</f>
        <v>12805.719663664984</v>
      </c>
      <c r="D78" s="67">
        <f>SUM(D66:D77)</f>
        <v>1534219600</v>
      </c>
      <c r="E78" s="64"/>
      <c r="F78" s="68">
        <f>SUM(F66:F77)</f>
        <v>41941933.328418739</v>
      </c>
    </row>
    <row r="79" spans="2:13">
      <c r="D79" s="43"/>
      <c r="L79" s="43">
        <f>D78/D61</f>
        <v>468428.24211892224</v>
      </c>
      <c r="M79" s="42" t="s">
        <v>147</v>
      </c>
    </row>
    <row r="80" spans="2:13">
      <c r="L80" s="69">
        <f>L79/12</f>
        <v>39035.686843243522</v>
      </c>
      <c r="M80" s="42" t="s">
        <v>148</v>
      </c>
    </row>
    <row r="82" spans="2:6">
      <c r="B82" s="60" t="s">
        <v>149</v>
      </c>
    </row>
    <row r="84" spans="2:6">
      <c r="B84" s="50" t="s">
        <v>15</v>
      </c>
      <c r="C84" s="50" t="s">
        <v>16</v>
      </c>
      <c r="D84" s="50" t="s">
        <v>2</v>
      </c>
    </row>
    <row r="85" spans="2:6">
      <c r="B85" s="42" t="s">
        <v>17</v>
      </c>
      <c r="C85" s="42" t="s">
        <v>18</v>
      </c>
      <c r="D85" s="8">
        <f>'Page 1'!F8</f>
        <v>15588912.113700636</v>
      </c>
    </row>
    <row r="86" spans="2:6">
      <c r="B86" s="42" t="s">
        <v>19</v>
      </c>
      <c r="C86" s="42" t="s">
        <v>18</v>
      </c>
      <c r="D86" s="43">
        <f>264/12</f>
        <v>22</v>
      </c>
    </row>
    <row r="87" spans="2:6">
      <c r="B87" s="42" t="s">
        <v>20</v>
      </c>
      <c r="D87" s="62">
        <f>D85/D86</f>
        <v>708586.91425911977</v>
      </c>
    </row>
    <row r="88" spans="2:6">
      <c r="B88" s="42" t="s">
        <v>161</v>
      </c>
      <c r="D88" s="64">
        <f>D85/D103</f>
        <v>1.5092283208774778E-2</v>
      </c>
    </row>
    <row r="89" spans="2:6">
      <c r="D89" s="64"/>
    </row>
    <row r="90" spans="2:6">
      <c r="C90" s="51" t="s">
        <v>21</v>
      </c>
      <c r="D90" s="51" t="s">
        <v>22</v>
      </c>
      <c r="E90" s="51" t="s">
        <v>163</v>
      </c>
      <c r="F90" s="51" t="s">
        <v>162</v>
      </c>
    </row>
    <row r="91" spans="2:6">
      <c r="B91" s="42" t="s">
        <v>23</v>
      </c>
      <c r="C91" s="62">
        <f>$D$87/12</f>
        <v>59048.909521593312</v>
      </c>
      <c r="D91" s="43">
        <v>81927243</v>
      </c>
      <c r="E91" s="64">
        <f>$D$85/12/D91</f>
        <v>1.5856459486559959E-2</v>
      </c>
      <c r="F91" s="8">
        <f>E91*D91</f>
        <v>1299076.0094750531</v>
      </c>
    </row>
    <row r="92" spans="2:6">
      <c r="B92" s="42" t="s">
        <v>24</v>
      </c>
      <c r="C92" s="62">
        <f t="shared" ref="C92:C102" si="9">$D$87/12</f>
        <v>59048.909521593312</v>
      </c>
      <c r="D92" s="43">
        <v>79100016</v>
      </c>
      <c r="E92" s="64">
        <f t="shared" ref="E92:E102" si="10">$D$85/12/D92</f>
        <v>1.6423207922929537E-2</v>
      </c>
      <c r="F92" s="8">
        <f t="shared" ref="F92:F102" si="11">E92*D92</f>
        <v>1299076.0094750531</v>
      </c>
    </row>
    <row r="93" spans="2:6">
      <c r="B93" s="42" t="s">
        <v>25</v>
      </c>
      <c r="C93" s="62">
        <f t="shared" si="9"/>
        <v>59048.909521593312</v>
      </c>
      <c r="D93" s="43">
        <v>84724922</v>
      </c>
      <c r="E93" s="64">
        <f t="shared" si="10"/>
        <v>1.5332867576733243E-2</v>
      </c>
      <c r="F93" s="8">
        <f t="shared" si="11"/>
        <v>1299076.0094750531</v>
      </c>
    </row>
    <row r="94" spans="2:6">
      <c r="B94" s="42" t="s">
        <v>26</v>
      </c>
      <c r="C94" s="62">
        <f t="shared" si="9"/>
        <v>59048.909521593312</v>
      </c>
      <c r="D94" s="43">
        <v>83237979</v>
      </c>
      <c r="E94" s="64">
        <f t="shared" si="10"/>
        <v>1.5606770191706037E-2</v>
      </c>
      <c r="F94" s="8">
        <f t="shared" si="11"/>
        <v>1299076.0094750531</v>
      </c>
    </row>
    <row r="95" spans="2:6">
      <c r="B95" s="42" t="s">
        <v>27</v>
      </c>
      <c r="C95" s="62">
        <f t="shared" si="9"/>
        <v>59048.909521593312</v>
      </c>
      <c r="D95" s="43">
        <v>89464084</v>
      </c>
      <c r="E95" s="64">
        <f t="shared" si="10"/>
        <v>1.4520642825505853E-2</v>
      </c>
      <c r="F95" s="8">
        <f t="shared" si="11"/>
        <v>1299076.0094750531</v>
      </c>
    </row>
    <row r="96" spans="2:6">
      <c r="B96" s="42" t="s">
        <v>28</v>
      </c>
      <c r="C96" s="62">
        <f t="shared" si="9"/>
        <v>59048.909521593312</v>
      </c>
      <c r="D96" s="43">
        <v>84795554</v>
      </c>
      <c r="E96" s="64">
        <f t="shared" si="10"/>
        <v>1.5320095785624009E-2</v>
      </c>
      <c r="F96" s="8">
        <f t="shared" si="11"/>
        <v>1299076.0094750531</v>
      </c>
    </row>
    <row r="97" spans="2:13">
      <c r="B97" s="42" t="s">
        <v>29</v>
      </c>
      <c r="C97" s="62">
        <f t="shared" si="9"/>
        <v>59048.909521593312</v>
      </c>
      <c r="D97" s="43">
        <v>87953238</v>
      </c>
      <c r="E97" s="64">
        <f t="shared" si="10"/>
        <v>1.4770075997373207E-2</v>
      </c>
      <c r="F97" s="8">
        <f t="shared" si="11"/>
        <v>1299076.0094750531</v>
      </c>
    </row>
    <row r="98" spans="2:13">
      <c r="B98" s="42" t="s">
        <v>30</v>
      </c>
      <c r="C98" s="62">
        <f t="shared" si="9"/>
        <v>59048.909521593312</v>
      </c>
      <c r="D98" s="43">
        <v>88836408</v>
      </c>
      <c r="E98" s="64">
        <f t="shared" si="10"/>
        <v>1.4623238813021943E-2</v>
      </c>
      <c r="F98" s="8">
        <f t="shared" si="11"/>
        <v>1299076.0094750531</v>
      </c>
    </row>
    <row r="99" spans="2:13">
      <c r="B99" s="42" t="s">
        <v>31</v>
      </c>
      <c r="C99" s="62">
        <f t="shared" si="9"/>
        <v>59048.909521593312</v>
      </c>
      <c r="D99" s="43">
        <v>85944446</v>
      </c>
      <c r="E99" s="64">
        <f t="shared" si="10"/>
        <v>1.5115299125612528E-2</v>
      </c>
      <c r="F99" s="8">
        <f t="shared" si="11"/>
        <v>1299076.0094750531</v>
      </c>
    </row>
    <row r="100" spans="2:13">
      <c r="B100" s="42" t="s">
        <v>32</v>
      </c>
      <c r="C100" s="62">
        <f t="shared" si="9"/>
        <v>59048.909521593312</v>
      </c>
      <c r="D100" s="43">
        <v>90671324</v>
      </c>
      <c r="E100" s="64">
        <f t="shared" si="10"/>
        <v>1.4327308262037214E-2</v>
      </c>
      <c r="F100" s="8">
        <f t="shared" si="11"/>
        <v>1299076.0094750531</v>
      </c>
    </row>
    <row r="101" spans="2:13">
      <c r="B101" s="42" t="s">
        <v>33</v>
      </c>
      <c r="C101" s="62">
        <f t="shared" si="9"/>
        <v>59048.909521593312</v>
      </c>
      <c r="D101" s="43">
        <v>87360537</v>
      </c>
      <c r="E101" s="64">
        <f t="shared" si="10"/>
        <v>1.4870284159025408E-2</v>
      </c>
      <c r="F101" s="8">
        <f t="shared" si="11"/>
        <v>1299076.0094750531</v>
      </c>
    </row>
    <row r="102" spans="2:13">
      <c r="B102" s="42" t="s">
        <v>34</v>
      </c>
      <c r="C102" s="62">
        <f t="shared" si="9"/>
        <v>59048.909521593312</v>
      </c>
      <c r="D102" s="43">
        <v>88890397</v>
      </c>
      <c r="E102" s="64">
        <f t="shared" si="10"/>
        <v>1.4614357155757252E-2</v>
      </c>
      <c r="F102" s="8">
        <f t="shared" si="11"/>
        <v>1299076.0094750531</v>
      </c>
    </row>
    <row r="103" spans="2:13">
      <c r="C103" s="66">
        <f>SUM(C91:C102)</f>
        <v>708586.91425911989</v>
      </c>
      <c r="D103" s="67">
        <f>SUM(D91:D102)</f>
        <v>1032906148</v>
      </c>
      <c r="E103" s="64"/>
      <c r="F103" s="68">
        <f>SUM(F91:F102)</f>
        <v>15588912.113700634</v>
      </c>
    </row>
    <row r="104" spans="2:13">
      <c r="D104" s="43"/>
      <c r="L104" s="43">
        <f>D103/D86</f>
        <v>46950279.454545453</v>
      </c>
      <c r="M104" s="42" t="s">
        <v>147</v>
      </c>
    </row>
    <row r="105" spans="2:13">
      <c r="B105" s="60" t="s">
        <v>13</v>
      </c>
      <c r="L105" s="69">
        <f>L104/12</f>
        <v>3912523.2878787876</v>
      </c>
      <c r="M105" s="42" t="s">
        <v>148</v>
      </c>
    </row>
    <row r="106" spans="2:13">
      <c r="B106" s="61" t="s">
        <v>158</v>
      </c>
    </row>
    <row r="108" spans="2:13">
      <c r="B108" s="60" t="s">
        <v>150</v>
      </c>
    </row>
    <row r="110" spans="2:13">
      <c r="B110" s="50" t="s">
        <v>15</v>
      </c>
      <c r="C110" s="50" t="s">
        <v>16</v>
      </c>
      <c r="D110" s="50" t="s">
        <v>2</v>
      </c>
    </row>
    <row r="111" spans="2:13">
      <c r="B111" s="42" t="s">
        <v>17</v>
      </c>
      <c r="C111" s="42" t="s">
        <v>18</v>
      </c>
      <c r="D111" s="8">
        <f>'Page 1'!G8</f>
        <v>4639392.9147970099</v>
      </c>
    </row>
    <row r="112" spans="2:13">
      <c r="B112" s="42" t="s">
        <v>19</v>
      </c>
      <c r="C112" s="42" t="s">
        <v>18</v>
      </c>
      <c r="D112" s="43">
        <f>28560/12</f>
        <v>2380</v>
      </c>
    </row>
    <row r="113" spans="2:6">
      <c r="B113" s="42" t="s">
        <v>20</v>
      </c>
      <c r="D113" s="62">
        <f>D111/D112</f>
        <v>1949.3247541163907</v>
      </c>
    </row>
    <row r="114" spans="2:6">
      <c r="B114" s="42" t="s">
        <v>161</v>
      </c>
      <c r="D114" s="64">
        <f>D111/D129</f>
        <v>3.8221590166375802E-2</v>
      </c>
    </row>
    <row r="115" spans="2:6">
      <c r="D115" s="64"/>
    </row>
    <row r="116" spans="2:6">
      <c r="C116" s="51" t="s">
        <v>21</v>
      </c>
      <c r="D116" s="51" t="s">
        <v>22</v>
      </c>
      <c r="E116" s="51" t="s">
        <v>163</v>
      </c>
      <c r="F116" s="51" t="s">
        <v>162</v>
      </c>
    </row>
    <row r="117" spans="2:6">
      <c r="B117" s="42" t="s">
        <v>23</v>
      </c>
      <c r="C117" s="62">
        <f>$D$113/12</f>
        <v>162.44372950969924</v>
      </c>
      <c r="D117" s="43">
        <v>3752323</v>
      </c>
      <c r="E117" s="64">
        <f>$D$111/12/D117</f>
        <v>0.10303379432769624</v>
      </c>
      <c r="F117" s="8">
        <f>E117*D117</f>
        <v>386616.07623308414</v>
      </c>
    </row>
    <row r="118" spans="2:6">
      <c r="B118" s="42" t="s">
        <v>24</v>
      </c>
      <c r="C118" s="62">
        <f t="shared" ref="C118:C128" si="12">$D$113/12</f>
        <v>162.44372950969924</v>
      </c>
      <c r="D118" s="43">
        <v>3469331</v>
      </c>
      <c r="E118" s="64">
        <f t="shared" ref="E118:E128" si="13">$D$111/12/D118</f>
        <v>0.11143822144185266</v>
      </c>
      <c r="F118" s="8">
        <f t="shared" ref="F118:F128" si="14">E118*D118</f>
        <v>386616.07623308414</v>
      </c>
    </row>
    <row r="119" spans="2:6">
      <c r="B119" s="42" t="s">
        <v>25</v>
      </c>
      <c r="C119" s="62">
        <f t="shared" si="12"/>
        <v>162.44372950969924</v>
      </c>
      <c r="D119" s="43">
        <v>3593100</v>
      </c>
      <c r="E119" s="64">
        <f t="shared" si="13"/>
        <v>0.10759958705103786</v>
      </c>
      <c r="F119" s="8">
        <f t="shared" si="14"/>
        <v>386616.07623308414</v>
      </c>
    </row>
    <row r="120" spans="2:6">
      <c r="B120" s="42" t="s">
        <v>26</v>
      </c>
      <c r="C120" s="62">
        <f t="shared" si="12"/>
        <v>162.44372950969924</v>
      </c>
      <c r="D120" s="43">
        <v>4307834</v>
      </c>
      <c r="E120" s="64">
        <f t="shared" si="13"/>
        <v>8.9747208512000257E-2</v>
      </c>
      <c r="F120" s="8">
        <f t="shared" si="14"/>
        <v>386616.07623308414</v>
      </c>
    </row>
    <row r="121" spans="2:6">
      <c r="B121" s="42" t="s">
        <v>27</v>
      </c>
      <c r="C121" s="62">
        <f t="shared" si="12"/>
        <v>162.44372950969924</v>
      </c>
      <c r="D121" s="43">
        <v>11331892</v>
      </c>
      <c r="E121" s="64">
        <f t="shared" si="13"/>
        <v>3.4117522143088212E-2</v>
      </c>
      <c r="F121" s="8">
        <f t="shared" si="14"/>
        <v>386616.07623308414</v>
      </c>
    </row>
    <row r="122" spans="2:6">
      <c r="B122" s="42" t="s">
        <v>28</v>
      </c>
      <c r="C122" s="62">
        <f t="shared" si="12"/>
        <v>162.44372950969924</v>
      </c>
      <c r="D122" s="43">
        <v>14826931</v>
      </c>
      <c r="E122" s="64">
        <f t="shared" si="13"/>
        <v>2.607525969016003E-2</v>
      </c>
      <c r="F122" s="8">
        <f t="shared" si="14"/>
        <v>386616.07623308414</v>
      </c>
    </row>
    <row r="123" spans="2:6">
      <c r="B123" s="42" t="s">
        <v>29</v>
      </c>
      <c r="C123" s="62">
        <f t="shared" si="12"/>
        <v>162.44372950969924</v>
      </c>
      <c r="D123" s="43">
        <v>20424980</v>
      </c>
      <c r="E123" s="64">
        <f t="shared" si="13"/>
        <v>1.8928590198525733E-2</v>
      </c>
      <c r="F123" s="8">
        <f t="shared" si="14"/>
        <v>386616.07623308414</v>
      </c>
    </row>
    <row r="124" spans="2:6">
      <c r="B124" s="42" t="s">
        <v>30</v>
      </c>
      <c r="C124" s="62">
        <f t="shared" si="12"/>
        <v>162.44372950969924</v>
      </c>
      <c r="D124" s="43">
        <v>27257756</v>
      </c>
      <c r="E124" s="64">
        <f t="shared" si="13"/>
        <v>1.4183708894931929E-2</v>
      </c>
      <c r="F124" s="8">
        <f t="shared" si="14"/>
        <v>386616.07623308414</v>
      </c>
    </row>
    <row r="125" spans="2:6">
      <c r="B125" s="42" t="s">
        <v>31</v>
      </c>
      <c r="C125" s="62">
        <f t="shared" si="12"/>
        <v>162.44372950969924</v>
      </c>
      <c r="D125" s="43">
        <v>20807539</v>
      </c>
      <c r="E125" s="64">
        <f t="shared" si="13"/>
        <v>1.8580576791569832E-2</v>
      </c>
      <c r="F125" s="8">
        <f t="shared" si="14"/>
        <v>386616.07623308414</v>
      </c>
    </row>
    <row r="126" spans="2:6">
      <c r="B126" s="42" t="s">
        <v>32</v>
      </c>
      <c r="C126" s="62">
        <f t="shared" si="12"/>
        <v>162.44372950969924</v>
      </c>
      <c r="D126" s="43">
        <v>6889840</v>
      </c>
      <c r="E126" s="64">
        <f t="shared" si="13"/>
        <v>5.6113941141315932E-2</v>
      </c>
      <c r="F126" s="8">
        <f t="shared" si="14"/>
        <v>386616.07623308414</v>
      </c>
    </row>
    <row r="127" spans="2:6">
      <c r="B127" s="42" t="s">
        <v>33</v>
      </c>
      <c r="C127" s="62">
        <f t="shared" si="12"/>
        <v>162.44372950969924</v>
      </c>
      <c r="D127" s="43">
        <v>2411583</v>
      </c>
      <c r="E127" s="64">
        <f t="shared" si="13"/>
        <v>0.16031630519583367</v>
      </c>
      <c r="F127" s="8">
        <f t="shared" si="14"/>
        <v>386616.07623308414</v>
      </c>
    </row>
    <row r="128" spans="2:6">
      <c r="B128" s="42" t="s">
        <v>34</v>
      </c>
      <c r="C128" s="62">
        <f t="shared" si="12"/>
        <v>162.44372950969924</v>
      </c>
      <c r="D128" s="43">
        <v>2308364</v>
      </c>
      <c r="E128" s="64">
        <f t="shared" si="13"/>
        <v>0.1674848837675012</v>
      </c>
      <c r="F128" s="8">
        <f t="shared" si="14"/>
        <v>386616.07623308414</v>
      </c>
    </row>
    <row r="129" spans="3:12">
      <c r="C129" s="66">
        <f>SUM(C117:C128)</f>
        <v>1949.3247541163912</v>
      </c>
      <c r="D129" s="67">
        <f>SUM(D117:D128)</f>
        <v>121381473</v>
      </c>
      <c r="E129" s="64"/>
      <c r="F129" s="68">
        <f>SUM(F117:F128)</f>
        <v>4639392.9147970108</v>
      </c>
    </row>
    <row r="130" spans="3:12">
      <c r="D130" s="43"/>
      <c r="L130" s="43">
        <f>D129/D112</f>
        <v>51000.618907563025</v>
      </c>
    </row>
    <row r="131" spans="3:12">
      <c r="L131" s="69">
        <f>L130/12</f>
        <v>4250.051575630252</v>
      </c>
    </row>
  </sheetData>
  <printOptions horizontalCentered="1" verticalCentered="1"/>
  <pageMargins left="0.7" right="0.7" top="0.47" bottom="0.34" header="0.3" footer="0.3"/>
  <pageSetup scale="75" orientation="portrait" r:id="rId1"/>
  <headerFooter>
    <oddHeader>&amp;RExhibit No. ____(PDE-10)</oddHeader>
    <oddFooter>&amp;RPage &amp;P of &amp;N</oddFooter>
  </headerFooter>
  <rowBreaks count="2" manualBreakCount="2">
    <brk id="53" max="5" man="1"/>
    <brk id="104" max="5" man="1"/>
  </rowBreaks>
</worksheet>
</file>

<file path=xl/worksheets/sheet3.xml><?xml version="1.0" encoding="utf-8"?>
<worksheet xmlns="http://schemas.openxmlformats.org/spreadsheetml/2006/main" xmlns:r="http://schemas.openxmlformats.org/officeDocument/2006/relationships">
  <sheetPr>
    <tabColor rgb="FFFFFF00"/>
  </sheetPr>
  <dimension ref="A1:W225"/>
  <sheetViews>
    <sheetView tabSelected="1" topLeftCell="A187" zoomScaleNormal="100" workbookViewId="0">
      <selection activeCell="B79" sqref="B79"/>
    </sheetView>
  </sheetViews>
  <sheetFormatPr defaultRowHeight="15"/>
  <cols>
    <col min="1" max="1" width="4.28515625" style="33" customWidth="1"/>
    <col min="2" max="2" width="36.42578125" style="33" customWidth="1"/>
    <col min="3" max="3" width="7.5703125" style="33" customWidth="1"/>
    <col min="4" max="4" width="17" style="33" bestFit="1" customWidth="1"/>
    <col min="5" max="5" width="17.5703125" style="33" bestFit="1" customWidth="1"/>
    <col min="6" max="8" width="17" style="33" bestFit="1" customWidth="1"/>
    <col min="9" max="9" width="19.7109375" style="33" customWidth="1"/>
    <col min="10" max="10" width="19.28515625" style="33" customWidth="1"/>
    <col min="11" max="11" width="22.28515625" customWidth="1"/>
    <col min="12" max="12" width="8.85546875" customWidth="1"/>
    <col min="13" max="13" width="22.28515625" customWidth="1"/>
    <col min="14" max="14" width="16.140625" customWidth="1"/>
    <col min="15" max="15" width="15.7109375" customWidth="1"/>
    <col min="16" max="16" width="15.5703125" customWidth="1"/>
    <col min="17" max="17" width="16.140625" customWidth="1"/>
    <col min="18" max="18" width="15.42578125" customWidth="1"/>
    <col min="19" max="19" width="16" customWidth="1"/>
    <col min="20" max="20" width="14.7109375" customWidth="1"/>
    <col min="21" max="21" width="12.7109375" customWidth="1"/>
    <col min="22" max="22" width="11.28515625" customWidth="1"/>
    <col min="23" max="23" width="14" customWidth="1"/>
  </cols>
  <sheetData>
    <row r="1" spans="1:23" ht="9" customHeight="1"/>
    <row r="2" spans="1:23" ht="18.75">
      <c r="A2" s="3" t="s">
        <v>47</v>
      </c>
      <c r="M2" t="s">
        <v>95</v>
      </c>
    </row>
    <row r="3" spans="1:23">
      <c r="K3" s="4"/>
      <c r="M3" s="4" t="s">
        <v>91</v>
      </c>
    </row>
    <row r="4" spans="1:23">
      <c r="C4" s="33">
        <v>2012</v>
      </c>
      <c r="D4" s="15" t="s">
        <v>29</v>
      </c>
      <c r="E4" s="15" t="s">
        <v>30</v>
      </c>
      <c r="F4" s="15" t="s">
        <v>31</v>
      </c>
      <c r="G4" s="15" t="s">
        <v>32</v>
      </c>
      <c r="H4" s="15" t="s">
        <v>33</v>
      </c>
      <c r="I4" s="4" t="s">
        <v>34</v>
      </c>
      <c r="M4" s="45" t="s">
        <v>76</v>
      </c>
      <c r="N4" s="22" t="s">
        <v>77</v>
      </c>
      <c r="O4" s="22" t="s">
        <v>78</v>
      </c>
      <c r="P4" s="45" t="s">
        <v>79</v>
      </c>
      <c r="Q4" s="22" t="s">
        <v>97</v>
      </c>
      <c r="R4" s="22" t="s">
        <v>98</v>
      </c>
      <c r="S4" s="45" t="s">
        <v>99</v>
      </c>
      <c r="T4" s="45" t="s">
        <v>153</v>
      </c>
      <c r="U4" s="22" t="s">
        <v>154</v>
      </c>
      <c r="V4" s="22" t="s">
        <v>155</v>
      </c>
      <c r="W4" s="45" t="s">
        <v>156</v>
      </c>
    </row>
    <row r="5" spans="1:23">
      <c r="A5" s="33" t="s">
        <v>35</v>
      </c>
      <c r="B5" s="33" t="s">
        <v>164</v>
      </c>
      <c r="D5" s="16">
        <f>'Page 2-4'!E19</f>
        <v>5.3400704377301537E-2</v>
      </c>
      <c r="E5" s="16">
        <f>'Page 2-4'!E20</f>
        <v>4.5714267842871373E-2</v>
      </c>
      <c r="F5" s="16">
        <f>'Page 2-4'!E21</f>
        <v>5.6104377743715038E-2</v>
      </c>
      <c r="G5" s="16">
        <f>'Page 2-4'!E22</f>
        <v>4.9529493386972823E-2</v>
      </c>
      <c r="H5" s="16">
        <f>'Page 2-4'!E23</f>
        <v>4.0666875964063452E-2</v>
      </c>
      <c r="I5" s="5">
        <f>'Page 2-4'!E24</f>
        <v>2.9872686433228313E-2</v>
      </c>
      <c r="K5" s="23" t="s">
        <v>85</v>
      </c>
      <c r="L5">
        <v>2012</v>
      </c>
      <c r="M5" s="47">
        <v>202271</v>
      </c>
      <c r="N5" s="27">
        <v>19760.5</v>
      </c>
      <c r="O5" s="27">
        <v>8384</v>
      </c>
      <c r="P5" s="46">
        <f t="shared" ref="P5:P10" si="0">N5+O5</f>
        <v>28144.5</v>
      </c>
      <c r="Q5" s="27">
        <v>3000</v>
      </c>
      <c r="R5" s="27">
        <v>80</v>
      </c>
      <c r="S5" s="46">
        <f t="shared" ref="S5:S10" si="1">Q5+R5</f>
        <v>3080</v>
      </c>
      <c r="T5" s="47">
        <v>24</v>
      </c>
      <c r="U5" s="27">
        <v>1181</v>
      </c>
      <c r="V5" s="27">
        <v>1252</v>
      </c>
      <c r="W5" s="46">
        <f>U5+V5</f>
        <v>2433</v>
      </c>
    </row>
    <row r="6" spans="1:23" s="9" customFormat="1">
      <c r="A6" s="33" t="s">
        <v>36</v>
      </c>
      <c r="B6" s="33" t="s">
        <v>37</v>
      </c>
      <c r="C6" s="33"/>
      <c r="D6" s="17">
        <f>'Page 2-4'!C19</f>
        <v>43.368435755607557</v>
      </c>
      <c r="E6" s="17">
        <f>'Page 2-4'!C20</f>
        <v>43.368435755607557</v>
      </c>
      <c r="F6" s="17">
        <f>'Page 2-4'!C21</f>
        <v>43.368435755607557</v>
      </c>
      <c r="G6" s="17">
        <f>'Page 2-4'!C22</f>
        <v>43.368435755607557</v>
      </c>
      <c r="H6" s="17">
        <f>'Page 2-4'!C23</f>
        <v>43.368435755607557</v>
      </c>
      <c r="I6" s="6">
        <f>'Page 2-4'!C24</f>
        <v>43.368435755607557</v>
      </c>
      <c r="J6" s="33"/>
      <c r="K6" s="24" t="s">
        <v>86</v>
      </c>
      <c r="L6">
        <v>2012</v>
      </c>
      <c r="M6" s="47">
        <v>202608</v>
      </c>
      <c r="N6" s="27">
        <v>19765</v>
      </c>
      <c r="O6" s="27">
        <v>8383.2000000000007</v>
      </c>
      <c r="P6" s="46">
        <f t="shared" si="0"/>
        <v>28148.2</v>
      </c>
      <c r="Q6" s="27">
        <v>3003</v>
      </c>
      <c r="R6" s="27">
        <v>80</v>
      </c>
      <c r="S6" s="46">
        <f t="shared" si="1"/>
        <v>3083</v>
      </c>
      <c r="T6" s="47">
        <v>24</v>
      </c>
      <c r="U6" s="27">
        <v>1182</v>
      </c>
      <c r="V6" s="27">
        <v>1254</v>
      </c>
      <c r="W6" s="46">
        <f t="shared" ref="W6:W16" si="2">U6+V6</f>
        <v>2436</v>
      </c>
    </row>
    <row r="7" spans="1:23" s="9" customFormat="1">
      <c r="A7" s="34" t="s">
        <v>38</v>
      </c>
      <c r="B7" s="34" t="s">
        <v>39</v>
      </c>
      <c r="C7" s="34"/>
      <c r="D7" s="35">
        <v>202271</v>
      </c>
      <c r="E7" s="35">
        <v>202608</v>
      </c>
      <c r="F7" s="35">
        <v>202967</v>
      </c>
      <c r="G7" s="35">
        <v>203342</v>
      </c>
      <c r="H7" s="35">
        <v>203731</v>
      </c>
      <c r="I7" s="35">
        <v>204099</v>
      </c>
      <c r="J7" s="36"/>
      <c r="K7" s="23" t="s">
        <v>87</v>
      </c>
      <c r="L7">
        <v>2012</v>
      </c>
      <c r="M7" s="47">
        <v>202967</v>
      </c>
      <c r="N7" s="27">
        <v>19774.5</v>
      </c>
      <c r="O7" s="27">
        <v>8399.4</v>
      </c>
      <c r="P7" s="46">
        <f t="shared" si="0"/>
        <v>28173.9</v>
      </c>
      <c r="Q7" s="27">
        <v>3004.3333333333335</v>
      </c>
      <c r="R7" s="27">
        <v>80</v>
      </c>
      <c r="S7" s="46">
        <f t="shared" si="1"/>
        <v>3084.3333333333335</v>
      </c>
      <c r="T7" s="47">
        <v>24</v>
      </c>
      <c r="U7" s="27">
        <v>1185</v>
      </c>
      <c r="V7" s="27">
        <v>1267</v>
      </c>
      <c r="W7" s="46">
        <f t="shared" si="2"/>
        <v>2452</v>
      </c>
    </row>
    <row r="8" spans="1:23">
      <c r="A8" s="34" t="s">
        <v>40</v>
      </c>
      <c r="B8" s="34" t="s">
        <v>41</v>
      </c>
      <c r="C8" s="34"/>
      <c r="D8" s="35">
        <v>178808173.73792458</v>
      </c>
      <c r="E8" s="35">
        <v>186527169.89460373</v>
      </c>
      <c r="F8" s="35">
        <v>160783722.83338389</v>
      </c>
      <c r="G8" s="35">
        <v>178057728.33457434</v>
      </c>
      <c r="H8" s="35">
        <v>215316254.09122616</v>
      </c>
      <c r="I8" s="35">
        <v>275217020.03532279</v>
      </c>
      <c r="J8" s="36"/>
      <c r="K8" s="24" t="s">
        <v>88</v>
      </c>
      <c r="L8">
        <v>2012</v>
      </c>
      <c r="M8" s="47">
        <v>203342</v>
      </c>
      <c r="N8" s="27">
        <v>19777.75</v>
      </c>
      <c r="O8" s="27">
        <v>8401.9</v>
      </c>
      <c r="P8" s="46">
        <f t="shared" si="0"/>
        <v>28179.65</v>
      </c>
      <c r="Q8" s="27">
        <v>2994</v>
      </c>
      <c r="R8" s="27">
        <v>80</v>
      </c>
      <c r="S8" s="46">
        <f t="shared" si="1"/>
        <v>3074</v>
      </c>
      <c r="T8" s="47">
        <v>24</v>
      </c>
      <c r="U8" s="27">
        <v>1186</v>
      </c>
      <c r="V8" s="27">
        <v>1267</v>
      </c>
      <c r="W8" s="46">
        <f t="shared" si="2"/>
        <v>2453</v>
      </c>
    </row>
    <row r="9" spans="1:23">
      <c r="D9" s="7"/>
      <c r="E9" s="7"/>
      <c r="F9" s="7"/>
      <c r="G9" s="7"/>
      <c r="H9" s="7"/>
      <c r="I9" s="7"/>
      <c r="K9" s="23" t="s">
        <v>89</v>
      </c>
      <c r="L9">
        <v>2012</v>
      </c>
      <c r="M9" s="47">
        <v>203731</v>
      </c>
      <c r="N9" s="27">
        <v>19789.875</v>
      </c>
      <c r="O9" s="27">
        <v>8409.4500000000007</v>
      </c>
      <c r="P9" s="46">
        <f t="shared" si="0"/>
        <v>28199.325000000001</v>
      </c>
      <c r="Q9" s="27">
        <v>3009</v>
      </c>
      <c r="R9" s="27">
        <v>80</v>
      </c>
      <c r="S9" s="46">
        <f t="shared" si="1"/>
        <v>3089</v>
      </c>
      <c r="T9" s="47">
        <v>24</v>
      </c>
      <c r="U9" s="27">
        <v>1183</v>
      </c>
      <c r="V9" s="27">
        <v>1255</v>
      </c>
      <c r="W9" s="46">
        <f t="shared" si="2"/>
        <v>2438</v>
      </c>
    </row>
    <row r="10" spans="1:23">
      <c r="D10" s="7"/>
      <c r="E10" s="7"/>
      <c r="F10" s="7"/>
      <c r="G10" s="7"/>
      <c r="H10" s="7"/>
      <c r="I10" s="7"/>
      <c r="K10" s="24" t="s">
        <v>90</v>
      </c>
      <c r="L10">
        <v>2012</v>
      </c>
      <c r="M10" s="47">
        <v>204099</v>
      </c>
      <c r="N10" s="27">
        <v>19804.375</v>
      </c>
      <c r="O10" s="27">
        <v>8411.65</v>
      </c>
      <c r="P10" s="46">
        <f t="shared" si="0"/>
        <v>28216.025000000001</v>
      </c>
      <c r="Q10" s="27">
        <v>3014</v>
      </c>
      <c r="R10" s="27">
        <v>80</v>
      </c>
      <c r="S10" s="46">
        <f t="shared" si="1"/>
        <v>3094</v>
      </c>
      <c r="T10" s="47">
        <v>24</v>
      </c>
      <c r="U10" s="27">
        <v>1185</v>
      </c>
      <c r="V10" s="27">
        <v>1257</v>
      </c>
      <c r="W10" s="46">
        <f t="shared" si="2"/>
        <v>2442</v>
      </c>
    </row>
    <row r="11" spans="1:23">
      <c r="A11" s="33" t="s">
        <v>48</v>
      </c>
      <c r="B11" s="33" t="s">
        <v>42</v>
      </c>
      <c r="C11" s="33" t="s">
        <v>43</v>
      </c>
      <c r="D11" s="7">
        <f t="shared" ref="D11:I11" si="3">D8*D5</f>
        <v>9548482.426024083</v>
      </c>
      <c r="E11" s="7">
        <f t="shared" si="3"/>
        <v>8526953.0045346878</v>
      </c>
      <c r="F11" s="7">
        <f t="shared" si="3"/>
        <v>9020670.7208849508</v>
      </c>
      <c r="G11" s="7">
        <f t="shared" si="3"/>
        <v>8819109.0780467037</v>
      </c>
      <c r="H11" s="7">
        <f t="shared" si="3"/>
        <v>8756239.398174664</v>
      </c>
      <c r="I11" s="7">
        <f t="shared" si="3"/>
        <v>8221471.7406027121</v>
      </c>
      <c r="K11" s="23" t="s">
        <v>80</v>
      </c>
      <c r="L11">
        <v>2013</v>
      </c>
      <c r="M11" s="47">
        <v>204534</v>
      </c>
      <c r="N11" s="27">
        <v>19809.25</v>
      </c>
      <c r="O11" s="27">
        <v>8449.9</v>
      </c>
      <c r="P11" s="46">
        <f t="shared" ref="P11:P16" si="4">N11+O11</f>
        <v>28259.15</v>
      </c>
      <c r="Q11" s="27">
        <v>3022</v>
      </c>
      <c r="R11" s="27">
        <v>80</v>
      </c>
      <c r="S11" s="46">
        <f t="shared" ref="S11:S16" si="5">Q11+R11</f>
        <v>3102</v>
      </c>
      <c r="T11" s="47">
        <v>24</v>
      </c>
      <c r="U11" s="27">
        <v>1187</v>
      </c>
      <c r="V11" s="27">
        <v>1266</v>
      </c>
      <c r="W11" s="46">
        <f t="shared" si="2"/>
        <v>2453</v>
      </c>
    </row>
    <row r="12" spans="1:23">
      <c r="K12" s="24" t="s">
        <v>81</v>
      </c>
      <c r="L12">
        <v>2013</v>
      </c>
      <c r="M12" s="47">
        <v>205071</v>
      </c>
      <c r="N12" s="27">
        <v>19820.75</v>
      </c>
      <c r="O12" s="27">
        <v>8505.5</v>
      </c>
      <c r="P12" s="46">
        <f t="shared" si="4"/>
        <v>28326.25</v>
      </c>
      <c r="Q12" s="27">
        <v>3025.3333333333335</v>
      </c>
      <c r="R12" s="27">
        <v>80</v>
      </c>
      <c r="S12" s="46">
        <f t="shared" si="5"/>
        <v>3105.3333333333335</v>
      </c>
      <c r="T12" s="47">
        <v>24</v>
      </c>
      <c r="U12" s="27">
        <v>1189</v>
      </c>
      <c r="V12" s="27">
        <v>1264</v>
      </c>
      <c r="W12" s="46">
        <f t="shared" si="2"/>
        <v>2453</v>
      </c>
    </row>
    <row r="13" spans="1:23">
      <c r="A13" s="33" t="s">
        <v>49</v>
      </c>
      <c r="B13" s="33" t="s">
        <v>44</v>
      </c>
      <c r="C13" s="33" t="s">
        <v>45</v>
      </c>
      <c r="D13" s="7">
        <f t="shared" ref="D13:I13" si="6">D6*D7</f>
        <v>8772176.8687224966</v>
      </c>
      <c r="E13" s="7">
        <f t="shared" si="6"/>
        <v>8786792.0315721352</v>
      </c>
      <c r="F13" s="7">
        <f t="shared" si="6"/>
        <v>8802361.3000083994</v>
      </c>
      <c r="G13" s="7">
        <f t="shared" si="6"/>
        <v>8818624.4634167515</v>
      </c>
      <c r="H13" s="7">
        <f t="shared" si="6"/>
        <v>8835494.7849256825</v>
      </c>
      <c r="I13" s="7">
        <f t="shared" si="6"/>
        <v>8851454.3692837469</v>
      </c>
      <c r="K13" s="23" t="s">
        <v>82</v>
      </c>
      <c r="L13">
        <v>2013</v>
      </c>
      <c r="M13" s="47">
        <v>205738</v>
      </c>
      <c r="N13" s="27">
        <v>19842.75</v>
      </c>
      <c r="O13" s="27">
        <v>8626.9</v>
      </c>
      <c r="P13" s="46">
        <f t="shared" si="4"/>
        <v>28469.65</v>
      </c>
      <c r="Q13" s="27">
        <v>3018</v>
      </c>
      <c r="R13" s="27">
        <v>80</v>
      </c>
      <c r="S13" s="46">
        <f t="shared" si="5"/>
        <v>3098</v>
      </c>
      <c r="T13" s="47">
        <v>24</v>
      </c>
      <c r="U13" s="27">
        <v>1184</v>
      </c>
      <c r="V13" s="27">
        <v>1265</v>
      </c>
      <c r="W13" s="46">
        <f t="shared" si="2"/>
        <v>2449</v>
      </c>
    </row>
    <row r="14" spans="1:23">
      <c r="K14" s="24" t="s">
        <v>83</v>
      </c>
      <c r="L14">
        <v>2013</v>
      </c>
      <c r="M14" s="47">
        <v>205436</v>
      </c>
      <c r="N14" s="27">
        <v>19879.5</v>
      </c>
      <c r="O14" s="27">
        <v>8652.7999999999993</v>
      </c>
      <c r="P14" s="46">
        <f t="shared" si="4"/>
        <v>28532.3</v>
      </c>
      <c r="Q14" s="27">
        <v>3034</v>
      </c>
      <c r="R14" s="27">
        <v>80</v>
      </c>
      <c r="S14" s="46">
        <f t="shared" si="5"/>
        <v>3114</v>
      </c>
      <c r="T14" s="47">
        <v>24</v>
      </c>
      <c r="U14" s="27">
        <v>1181</v>
      </c>
      <c r="V14" s="27">
        <v>1261</v>
      </c>
      <c r="W14" s="46">
        <f t="shared" si="2"/>
        <v>2442</v>
      </c>
    </row>
    <row r="15" spans="1:23">
      <c r="A15" s="33" t="s">
        <v>50</v>
      </c>
      <c r="B15" s="33" t="s">
        <v>46</v>
      </c>
      <c r="C15" s="33" t="s">
        <v>51</v>
      </c>
      <c r="D15" s="37">
        <f>D11-D13</f>
        <v>776305.55730158649</v>
      </c>
      <c r="E15" s="37">
        <f t="shared" ref="E15:I15" si="7">E11-E13</f>
        <v>-259839.02703744732</v>
      </c>
      <c r="F15" s="37">
        <f t="shared" si="7"/>
        <v>218309.42087655142</v>
      </c>
      <c r="G15" s="37">
        <f t="shared" si="7"/>
        <v>484.61462995223701</v>
      </c>
      <c r="H15" s="37">
        <f t="shared" si="7"/>
        <v>-79255.386751018465</v>
      </c>
      <c r="I15" s="37">
        <f t="shared" si="7"/>
        <v>-629982.62868103478</v>
      </c>
      <c r="K15" s="23" t="s">
        <v>27</v>
      </c>
      <c r="L15">
        <v>2013</v>
      </c>
      <c r="M15" s="47">
        <v>204983</v>
      </c>
      <c r="N15" s="27">
        <v>19921.5</v>
      </c>
      <c r="O15" s="27">
        <v>8679.1999999999989</v>
      </c>
      <c r="P15" s="46">
        <f t="shared" si="4"/>
        <v>28600.699999999997</v>
      </c>
      <c r="Q15" s="27">
        <v>3038</v>
      </c>
      <c r="R15" s="27">
        <v>80</v>
      </c>
      <c r="S15" s="46">
        <f t="shared" si="5"/>
        <v>3118</v>
      </c>
      <c r="T15" s="47">
        <v>24</v>
      </c>
      <c r="U15" s="27">
        <v>1191</v>
      </c>
      <c r="V15" s="27">
        <v>1271</v>
      </c>
      <c r="W15" s="46">
        <f t="shared" si="2"/>
        <v>2462</v>
      </c>
    </row>
    <row r="16" spans="1:23">
      <c r="D16" s="37"/>
      <c r="E16" s="37"/>
      <c r="F16" s="37"/>
      <c r="G16" s="37"/>
      <c r="H16" s="37"/>
      <c r="I16" s="37"/>
      <c r="J16" s="12"/>
      <c r="K16" s="24" t="s">
        <v>84</v>
      </c>
      <c r="L16">
        <v>2013</v>
      </c>
      <c r="M16" s="47">
        <v>204609</v>
      </c>
      <c r="N16" s="27">
        <v>19983.75</v>
      </c>
      <c r="O16" s="27">
        <v>8736.5</v>
      </c>
      <c r="P16" s="46">
        <f t="shared" si="4"/>
        <v>28720.25</v>
      </c>
      <c r="Q16" s="27">
        <v>3042</v>
      </c>
      <c r="R16" s="27">
        <v>80</v>
      </c>
      <c r="S16" s="46">
        <f t="shared" si="5"/>
        <v>3122</v>
      </c>
      <c r="T16" s="47">
        <v>24</v>
      </c>
      <c r="U16" s="27">
        <v>1202</v>
      </c>
      <c r="V16" s="27">
        <v>1269</v>
      </c>
      <c r="W16" s="46">
        <f t="shared" si="2"/>
        <v>2471</v>
      </c>
    </row>
    <row r="17" spans="1:23">
      <c r="D17" s="37"/>
      <c r="E17" s="37"/>
      <c r="F17" s="37"/>
      <c r="G17" s="37"/>
      <c r="H17" s="37"/>
      <c r="I17" s="37"/>
      <c r="J17" s="12"/>
    </row>
    <row r="18" spans="1:23">
      <c r="C18" s="33">
        <v>2013</v>
      </c>
      <c r="D18" s="4" t="s">
        <v>23</v>
      </c>
      <c r="E18" s="4" t="s">
        <v>24</v>
      </c>
      <c r="F18" s="4" t="s">
        <v>25</v>
      </c>
      <c r="G18" s="4" t="s">
        <v>26</v>
      </c>
      <c r="H18" s="4" t="s">
        <v>27</v>
      </c>
      <c r="I18" s="4" t="s">
        <v>28</v>
      </c>
      <c r="J18" s="12"/>
      <c r="K18" s="24" t="s">
        <v>93</v>
      </c>
      <c r="M18" s="27">
        <f>SUM(M5:M17)</f>
        <v>2449389</v>
      </c>
      <c r="P18" s="27">
        <f>SUM(P5:P17)</f>
        <v>339969.9</v>
      </c>
      <c r="S18" s="27">
        <f>SUM(S5:S17)</f>
        <v>37163.666666666672</v>
      </c>
      <c r="T18" s="27">
        <f>SUM(T5:T17)</f>
        <v>288</v>
      </c>
      <c r="W18" s="27">
        <f>SUM(W5:W17)</f>
        <v>29384</v>
      </c>
    </row>
    <row r="19" spans="1:23">
      <c r="A19" s="33" t="s">
        <v>35</v>
      </c>
      <c r="B19" s="33" t="s">
        <v>164</v>
      </c>
      <c r="D19" s="5">
        <f>'Page 2-4'!E13</f>
        <v>3.1471186716339167E-2</v>
      </c>
      <c r="E19" s="5">
        <f>'Page 2-4'!E14</f>
        <v>3.6903449678706353E-2</v>
      </c>
      <c r="F19" s="5">
        <f>'Page 2-4'!E15</f>
        <v>4.081672834262965E-2</v>
      </c>
      <c r="G19" s="5">
        <f>'Page 2-4'!E16</f>
        <v>4.6981000063480514E-2</v>
      </c>
      <c r="H19" s="5">
        <f>'Page 2-4'!E17</f>
        <v>5.8937540308278476E-2</v>
      </c>
      <c r="I19" s="5">
        <f>'Page 2-4'!E18</f>
        <v>5.7047013114236579E-2</v>
      </c>
      <c r="J19" s="12"/>
      <c r="M19" s="28">
        <f>M18/12</f>
        <v>204115.75</v>
      </c>
      <c r="P19" s="28">
        <f>P18/12</f>
        <v>28330.825000000001</v>
      </c>
      <c r="S19" s="28">
        <f>S18/12</f>
        <v>3096.9722222222226</v>
      </c>
      <c r="T19" s="28">
        <f>T18/12</f>
        <v>24</v>
      </c>
      <c r="W19" s="28">
        <f>W18/12</f>
        <v>2448.6666666666665</v>
      </c>
    </row>
    <row r="20" spans="1:23" s="9" customFormat="1">
      <c r="A20" s="33" t="s">
        <v>36</v>
      </c>
      <c r="B20" s="33" t="s">
        <v>37</v>
      </c>
      <c r="C20" s="33"/>
      <c r="D20" s="6">
        <f>'Page 2-4'!C13</f>
        <v>43.368435755607557</v>
      </c>
      <c r="E20" s="6">
        <f>'Page 2-4'!C14</f>
        <v>43.368435755607557</v>
      </c>
      <c r="F20" s="6">
        <f>'Page 2-4'!C15</f>
        <v>43.368435755607557</v>
      </c>
      <c r="G20" s="6">
        <f>'Page 2-4'!C16</f>
        <v>43.368435755607557</v>
      </c>
      <c r="H20" s="6">
        <f>'Page 2-4'!C17</f>
        <v>43.368435755607557</v>
      </c>
      <c r="I20" s="6">
        <f>'Page 2-4'!C18</f>
        <v>43.368435755607557</v>
      </c>
      <c r="J20" s="12"/>
    </row>
    <row r="21" spans="1:23" s="9" customFormat="1">
      <c r="A21" s="34" t="s">
        <v>38</v>
      </c>
      <c r="B21" s="34" t="s">
        <v>39</v>
      </c>
      <c r="C21" s="34"/>
      <c r="D21" s="35">
        <v>204534</v>
      </c>
      <c r="E21" s="35">
        <v>205071</v>
      </c>
      <c r="F21" s="35">
        <v>205738</v>
      </c>
      <c r="G21" s="35">
        <v>205436</v>
      </c>
      <c r="H21" s="35">
        <v>204983</v>
      </c>
      <c r="I21" s="35">
        <v>204609</v>
      </c>
      <c r="J21" s="12"/>
    </row>
    <row r="22" spans="1:23">
      <c r="A22" s="34" t="s">
        <v>40</v>
      </c>
      <c r="B22" s="34" t="s">
        <v>41</v>
      </c>
      <c r="C22" s="34"/>
      <c r="D22" s="35">
        <v>271867408.12722456</v>
      </c>
      <c r="E22" s="35">
        <v>221255712.76682019</v>
      </c>
      <c r="F22" s="35">
        <v>224164644.50959352</v>
      </c>
      <c r="G22" s="35">
        <v>178565440.21199206</v>
      </c>
      <c r="H22" s="35">
        <v>172407744.60921291</v>
      </c>
      <c r="I22" s="35">
        <v>153288189.8233678</v>
      </c>
      <c r="J22" s="12"/>
      <c r="M22" t="s">
        <v>96</v>
      </c>
    </row>
    <row r="23" spans="1:23">
      <c r="D23" s="7"/>
      <c r="E23" s="7"/>
      <c r="F23" s="7"/>
      <c r="G23" s="7"/>
      <c r="H23" s="7"/>
      <c r="I23" s="7"/>
      <c r="J23" s="12"/>
      <c r="M23" t="s">
        <v>95</v>
      </c>
    </row>
    <row r="24" spans="1:23">
      <c r="D24" s="7"/>
      <c r="E24" s="7"/>
      <c r="F24" s="7"/>
      <c r="G24" s="7"/>
      <c r="H24" s="7"/>
      <c r="I24" s="7"/>
      <c r="J24" s="12"/>
      <c r="K24" s="4"/>
      <c r="M24" s="4" t="s">
        <v>92</v>
      </c>
    </row>
    <row r="25" spans="1:23">
      <c r="A25" s="33" t="s">
        <v>48</v>
      </c>
      <c r="B25" s="33" t="s">
        <v>42</v>
      </c>
      <c r="C25" s="33" t="s">
        <v>43</v>
      </c>
      <c r="D25" s="7">
        <f>D22*D19</f>
        <v>8555989.9632590692</v>
      </c>
      <c r="E25" s="7">
        <f t="shared" ref="E25:I25" si="8">E22*E19</f>
        <v>8165099.0622166554</v>
      </c>
      <c r="F25" s="7">
        <f t="shared" si="8"/>
        <v>9149667.3989702258</v>
      </c>
      <c r="G25" s="7">
        <f t="shared" si="8"/>
        <v>8389182.9579350241</v>
      </c>
      <c r="H25" s="7">
        <f t="shared" si="8"/>
        <v>10161288.397364866</v>
      </c>
      <c r="I25" s="7">
        <f t="shared" si="8"/>
        <v>8744633.3751112483</v>
      </c>
      <c r="J25" s="12"/>
      <c r="M25" s="45" t="s">
        <v>76</v>
      </c>
      <c r="N25" s="22" t="s">
        <v>77</v>
      </c>
      <c r="O25" s="22" t="s">
        <v>78</v>
      </c>
      <c r="P25" s="45" t="s">
        <v>79</v>
      </c>
      <c r="Q25" s="22" t="s">
        <v>97</v>
      </c>
      <c r="R25" s="22" t="s">
        <v>98</v>
      </c>
      <c r="S25" s="45" t="s">
        <v>99</v>
      </c>
      <c r="T25" s="45" t="s">
        <v>153</v>
      </c>
      <c r="U25" s="22" t="s">
        <v>154</v>
      </c>
      <c r="V25" s="22" t="s">
        <v>155</v>
      </c>
      <c r="W25" s="45" t="s">
        <v>156</v>
      </c>
    </row>
    <row r="26" spans="1:23">
      <c r="J26" s="12"/>
      <c r="K26" s="23" t="s">
        <v>85</v>
      </c>
      <c r="L26" s="29">
        <v>2012</v>
      </c>
      <c r="M26" s="47">
        <v>178808173.73792458</v>
      </c>
      <c r="N26" s="27">
        <v>33637337.366673827</v>
      </c>
      <c r="O26" s="27">
        <v>3566073.3809753368</v>
      </c>
      <c r="P26" s="46">
        <f t="shared" ref="P26:P31" si="9">N26+O26</f>
        <v>37203410.747649163</v>
      </c>
      <c r="Q26" s="27">
        <v>137330201.4621366</v>
      </c>
      <c r="R26" s="27">
        <v>3020934.6845081346</v>
      </c>
      <c r="S26" s="46">
        <f t="shared" ref="S26:S31" si="10">Q26+R26</f>
        <v>140351136.14664474</v>
      </c>
      <c r="T26" s="47">
        <v>92281587.582842737</v>
      </c>
      <c r="U26" s="27">
        <v>21678428.67315622</v>
      </c>
      <c r="V26" s="27">
        <v>2074916.1717761941</v>
      </c>
      <c r="W26" s="46">
        <f>U26+V26</f>
        <v>23753344.844932415</v>
      </c>
    </row>
    <row r="27" spans="1:23">
      <c r="A27" s="33" t="s">
        <v>49</v>
      </c>
      <c r="B27" s="33" t="s">
        <v>44</v>
      </c>
      <c r="C27" s="33" t="s">
        <v>45</v>
      </c>
      <c r="D27" s="7">
        <f>D20*D21</f>
        <v>8870319.6388374362</v>
      </c>
      <c r="E27" s="7">
        <f t="shared" ref="E27:I27" si="11">E20*E21</f>
        <v>8893608.4888381977</v>
      </c>
      <c r="F27" s="7">
        <f t="shared" si="11"/>
        <v>8922535.2354871873</v>
      </c>
      <c r="G27" s="7">
        <f t="shared" si="11"/>
        <v>8909437.9678889941</v>
      </c>
      <c r="H27" s="7">
        <f t="shared" si="11"/>
        <v>8889792.0664917044</v>
      </c>
      <c r="I27" s="7">
        <f t="shared" si="11"/>
        <v>8873572.2715191059</v>
      </c>
      <c r="J27" s="12"/>
      <c r="K27" s="24" t="s">
        <v>86</v>
      </c>
      <c r="L27" s="29">
        <v>2012</v>
      </c>
      <c r="M27" s="47">
        <v>186527169.89460373</v>
      </c>
      <c r="N27" s="27">
        <v>35115997.975514755</v>
      </c>
      <c r="O27" s="27">
        <v>3765685.9922856716</v>
      </c>
      <c r="P27" s="46">
        <f t="shared" si="9"/>
        <v>38881683.967800424</v>
      </c>
      <c r="Q27" s="27">
        <v>142606732.01401013</v>
      </c>
      <c r="R27" s="27">
        <v>3178410.1472165976</v>
      </c>
      <c r="S27" s="46">
        <f t="shared" si="10"/>
        <v>145785142.16122672</v>
      </c>
      <c r="T27" s="47">
        <v>95374558.709426746</v>
      </c>
      <c r="U27" s="27">
        <v>22508983.082834616</v>
      </c>
      <c r="V27" s="27">
        <v>2277007.6317641349</v>
      </c>
      <c r="W27" s="46">
        <f t="shared" ref="W27:W37" si="12">U27+V27</f>
        <v>24785990.714598753</v>
      </c>
    </row>
    <row r="28" spans="1:23">
      <c r="J28" s="12"/>
      <c r="K28" s="23" t="s">
        <v>87</v>
      </c>
      <c r="L28" s="29">
        <v>2012</v>
      </c>
      <c r="M28" s="47">
        <v>160783722.83338389</v>
      </c>
      <c r="N28" s="27">
        <v>30657609.810190868</v>
      </c>
      <c r="O28" s="27">
        <v>3448260.6188788526</v>
      </c>
      <c r="P28" s="46">
        <f t="shared" si="9"/>
        <v>34105870.42906972</v>
      </c>
      <c r="Q28" s="27">
        <v>126551167.36155249</v>
      </c>
      <c r="R28" s="27">
        <v>2754702.8172125458</v>
      </c>
      <c r="S28" s="46">
        <f t="shared" si="10"/>
        <v>129305870.17876504</v>
      </c>
      <c r="T28" s="47">
        <v>93777383.453515008</v>
      </c>
      <c r="U28" s="27">
        <v>14718178.029198576</v>
      </c>
      <c r="V28" s="27">
        <v>1429038.8943547437</v>
      </c>
      <c r="W28" s="46">
        <f t="shared" si="12"/>
        <v>16147216.92355332</v>
      </c>
    </row>
    <row r="29" spans="1:23">
      <c r="A29" s="33" t="s">
        <v>50</v>
      </c>
      <c r="B29" s="33" t="s">
        <v>46</v>
      </c>
      <c r="C29" s="33" t="s">
        <v>51</v>
      </c>
      <c r="D29" s="37">
        <f>D25-D27</f>
        <v>-314329.67557836697</v>
      </c>
      <c r="E29" s="37">
        <f t="shared" ref="E29:I29" si="13">E25-E27</f>
        <v>-728509.42662154231</v>
      </c>
      <c r="F29" s="37">
        <f t="shared" si="13"/>
        <v>227132.16348303854</v>
      </c>
      <c r="G29" s="37">
        <f t="shared" si="13"/>
        <v>-520255.00995397009</v>
      </c>
      <c r="H29" s="37">
        <f t="shared" si="13"/>
        <v>1271496.3308731616</v>
      </c>
      <c r="I29" s="37">
        <f t="shared" si="13"/>
        <v>-128938.89640785754</v>
      </c>
      <c r="J29" s="30">
        <f>SUM(D29:I29)+D15+E15+F15+G15+H15+I15</f>
        <v>-167381.96386694722</v>
      </c>
      <c r="K29" s="24" t="s">
        <v>88</v>
      </c>
      <c r="L29" s="29">
        <v>2012</v>
      </c>
      <c r="M29" s="47">
        <v>178057728.33457434</v>
      </c>
      <c r="N29" s="27">
        <v>31563583.017557748</v>
      </c>
      <c r="O29" s="27">
        <v>3848923.3827583273</v>
      </c>
      <c r="P29" s="46">
        <f t="shared" si="9"/>
        <v>35412506.400316074</v>
      </c>
      <c r="Q29" s="27">
        <v>128134163.00751568</v>
      </c>
      <c r="R29" s="27">
        <v>2893726.6324592815</v>
      </c>
      <c r="S29" s="46">
        <f t="shared" si="10"/>
        <v>131027889.63997497</v>
      </c>
      <c r="T29" s="47">
        <v>94969176.318394989</v>
      </c>
      <c r="U29" s="27">
        <v>7230169.0262636924</v>
      </c>
      <c r="V29" s="27">
        <v>682665.85445646755</v>
      </c>
      <c r="W29" s="46">
        <f t="shared" si="12"/>
        <v>7912834.88072016</v>
      </c>
    </row>
    <row r="30" spans="1:23">
      <c r="D30" s="37"/>
      <c r="E30" s="37"/>
      <c r="F30" s="37"/>
      <c r="G30" s="37"/>
      <c r="H30" s="37"/>
      <c r="I30" s="37"/>
      <c r="J30" s="12"/>
      <c r="K30" s="23" t="s">
        <v>89</v>
      </c>
      <c r="L30" s="29">
        <v>2012</v>
      </c>
      <c r="M30" s="47">
        <v>215316254.09122616</v>
      </c>
      <c r="N30" s="27">
        <v>32645426.405699607</v>
      </c>
      <c r="O30" s="27">
        <v>4622274.0459388047</v>
      </c>
      <c r="P30" s="46">
        <f t="shared" si="9"/>
        <v>37267700.451638415</v>
      </c>
      <c r="Q30" s="27">
        <v>119716182.864785</v>
      </c>
      <c r="R30" s="27">
        <v>3184002.6076755011</v>
      </c>
      <c r="S30" s="46">
        <f t="shared" si="10"/>
        <v>122900185.47246051</v>
      </c>
      <c r="T30" s="47">
        <v>93569542.101915002</v>
      </c>
      <c r="U30" s="27">
        <v>4285737.5316366609</v>
      </c>
      <c r="V30" s="27">
        <v>372030.6144928984</v>
      </c>
      <c r="W30" s="46">
        <f t="shared" si="12"/>
        <v>4657768.1461295597</v>
      </c>
    </row>
    <row r="31" spans="1:23">
      <c r="A31" s="33" t="s">
        <v>103</v>
      </c>
      <c r="B31" s="33" t="s">
        <v>121</v>
      </c>
      <c r="D31" s="37"/>
      <c r="E31" s="37"/>
      <c r="F31" s="37"/>
      <c r="G31" s="37"/>
      <c r="H31" s="37"/>
      <c r="J31" s="30">
        <f>E42-SUM(D15:I15,D29:I29)</f>
        <v>-941200.18422623165</v>
      </c>
      <c r="K31" s="24" t="s">
        <v>90</v>
      </c>
      <c r="L31" s="29">
        <v>2012</v>
      </c>
      <c r="M31" s="47">
        <v>275217020.03532279</v>
      </c>
      <c r="N31" s="27">
        <v>37127526.612322092</v>
      </c>
      <c r="O31" s="27">
        <v>5676437.3090118952</v>
      </c>
      <c r="P31" s="46">
        <f t="shared" si="9"/>
        <v>42803963.921333984</v>
      </c>
      <c r="Q31" s="27">
        <v>127189348.82138586</v>
      </c>
      <c r="R31" s="27">
        <v>3883556.1294805547</v>
      </c>
      <c r="S31" s="46">
        <f t="shared" si="10"/>
        <v>131072904.95086642</v>
      </c>
      <c r="T31" s="47">
        <v>97139892.259078741</v>
      </c>
      <c r="U31" s="27">
        <v>4111678.1251815348</v>
      </c>
      <c r="V31" s="27">
        <v>442761.19514228898</v>
      </c>
      <c r="W31" s="46">
        <f t="shared" si="12"/>
        <v>4554439.320323824</v>
      </c>
    </row>
    <row r="32" spans="1:23">
      <c r="D32" s="37"/>
      <c r="E32" s="37"/>
      <c r="F32" s="37"/>
      <c r="G32" s="37"/>
      <c r="H32" s="37"/>
      <c r="I32" s="37"/>
      <c r="J32" s="12"/>
      <c r="K32" s="23" t="s">
        <v>80</v>
      </c>
      <c r="L32" s="29">
        <v>2013</v>
      </c>
      <c r="M32" s="47">
        <v>271867408.12722456</v>
      </c>
      <c r="N32" s="27">
        <v>37560937.494275771</v>
      </c>
      <c r="O32" s="27">
        <v>5853075.0183614111</v>
      </c>
      <c r="P32" s="46">
        <f t="shared" ref="P32:P37" si="14">N32+O32</f>
        <v>43414012.512637183</v>
      </c>
      <c r="Q32" s="27">
        <v>122588571.7449034</v>
      </c>
      <c r="R32" s="27">
        <v>4165933.3761607637</v>
      </c>
      <c r="S32" s="46">
        <f t="shared" ref="S32:S37" si="15">Q32+R32</f>
        <v>126754505.12106417</v>
      </c>
      <c r="T32" s="47">
        <v>94893298.768058747</v>
      </c>
      <c r="U32" s="27">
        <v>4222664.1146470048</v>
      </c>
      <c r="V32" s="27">
        <v>489473.26013160299</v>
      </c>
      <c r="W32" s="46">
        <f t="shared" si="12"/>
        <v>4712137.3747786079</v>
      </c>
    </row>
    <row r="33" spans="1:23" ht="15.75" thickBot="1">
      <c r="A33" s="33" t="s">
        <v>107</v>
      </c>
      <c r="B33" s="33" t="s">
        <v>165</v>
      </c>
      <c r="E33" s="5">
        <f>'Page 2-4'!D10</f>
        <v>4.3504267649943001E-2</v>
      </c>
      <c r="F33" s="37"/>
      <c r="G33" s="37"/>
      <c r="H33" s="37"/>
      <c r="I33" s="37"/>
      <c r="J33" s="12"/>
      <c r="K33" s="24" t="s">
        <v>81</v>
      </c>
      <c r="L33" s="29">
        <v>2013</v>
      </c>
      <c r="M33" s="47">
        <v>221255712.76682019</v>
      </c>
      <c r="N33" s="27">
        <v>31980713.26346438</v>
      </c>
      <c r="O33" s="27">
        <v>4893142.7510476951</v>
      </c>
      <c r="P33" s="46">
        <f t="shared" si="14"/>
        <v>36873856.014512077</v>
      </c>
      <c r="Q33" s="27">
        <v>111551534.25550376</v>
      </c>
      <c r="R33" s="27">
        <v>3466822.1326968023</v>
      </c>
      <c r="S33" s="46">
        <f t="shared" si="15"/>
        <v>115018356.38820057</v>
      </c>
      <c r="T33" s="47">
        <v>94298513.653671235</v>
      </c>
      <c r="U33" s="27">
        <v>3524598.0758471838</v>
      </c>
      <c r="V33" s="27">
        <v>409802.89768110914</v>
      </c>
      <c r="W33" s="46">
        <f t="shared" si="12"/>
        <v>3934400.973528293</v>
      </c>
    </row>
    <row r="34" spans="1:23" ht="15.75" thickBot="1">
      <c r="A34" s="33" t="s">
        <v>108</v>
      </c>
      <c r="B34" s="33" t="s">
        <v>104</v>
      </c>
      <c r="E34" s="37">
        <f>'Page 2-4'!D9</f>
        <v>520.42122906729071</v>
      </c>
      <c r="F34" s="37"/>
      <c r="G34" s="37"/>
      <c r="I34" s="38" t="s">
        <v>120</v>
      </c>
      <c r="J34" s="31">
        <f>E42</f>
        <v>-1108582.1480931789</v>
      </c>
      <c r="K34" s="23" t="s">
        <v>82</v>
      </c>
      <c r="L34" s="29">
        <v>2013</v>
      </c>
      <c r="M34" s="47">
        <v>224164644.50959352</v>
      </c>
      <c r="N34" s="27">
        <v>34145063.122324228</v>
      </c>
      <c r="O34" s="27">
        <v>4940845.8915227856</v>
      </c>
      <c r="P34" s="46">
        <f t="shared" si="14"/>
        <v>39085909.013847016</v>
      </c>
      <c r="Q34" s="27">
        <v>128176219.98227726</v>
      </c>
      <c r="R34" s="27">
        <v>3621455.1087710825</v>
      </c>
      <c r="S34" s="46">
        <f t="shared" si="15"/>
        <v>131797675.09104834</v>
      </c>
      <c r="T34" s="47">
        <v>97893104.835971251</v>
      </c>
      <c r="U34" s="27">
        <v>4975046.0920364326</v>
      </c>
      <c r="V34" s="27">
        <v>515294.84106208361</v>
      </c>
      <c r="W34" s="46">
        <f t="shared" si="12"/>
        <v>5490340.9330985164</v>
      </c>
    </row>
    <row r="35" spans="1:23">
      <c r="A35" s="33" t="s">
        <v>109</v>
      </c>
      <c r="B35" s="33" t="s">
        <v>105</v>
      </c>
      <c r="E35" s="27">
        <f>AVERAGE(D7:I7,D21:I21)</f>
        <v>204115.75</v>
      </c>
      <c r="F35" s="37"/>
      <c r="G35" s="37"/>
      <c r="I35" s="37"/>
      <c r="J35" s="37"/>
      <c r="K35" s="24" t="s">
        <v>83</v>
      </c>
      <c r="L35" s="29">
        <v>2013</v>
      </c>
      <c r="M35" s="47">
        <v>178565440.21199206</v>
      </c>
      <c r="N35" s="27">
        <v>29204277.392369099</v>
      </c>
      <c r="O35" s="27">
        <v>3908420.6918465537</v>
      </c>
      <c r="P35" s="46">
        <f t="shared" si="14"/>
        <v>33112698.084215652</v>
      </c>
      <c r="Q35" s="27">
        <v>115663698.28695659</v>
      </c>
      <c r="R35" s="27">
        <v>2993249.6652457854</v>
      </c>
      <c r="S35" s="46">
        <f t="shared" si="15"/>
        <v>118656947.95220238</v>
      </c>
      <c r="T35" s="47">
        <v>94530309.090093747</v>
      </c>
      <c r="U35" s="27">
        <v>7737829.0493773092</v>
      </c>
      <c r="V35" s="27">
        <v>778159.74414556415</v>
      </c>
      <c r="W35" s="46">
        <f t="shared" si="12"/>
        <v>8515988.7935228739</v>
      </c>
    </row>
    <row r="36" spans="1:23">
      <c r="A36" s="33" t="s">
        <v>110</v>
      </c>
      <c r="B36" s="33" t="s">
        <v>106</v>
      </c>
      <c r="E36" s="27">
        <f>SUM(D8:I8,D22:I22)</f>
        <v>2416259208.975246</v>
      </c>
      <c r="F36" s="37"/>
      <c r="G36" s="37"/>
      <c r="I36" s="38" t="s">
        <v>54</v>
      </c>
      <c r="J36" s="25">
        <v>0.95579199999999997</v>
      </c>
      <c r="K36" s="23" t="s">
        <v>27</v>
      </c>
      <c r="L36" s="29">
        <v>2013</v>
      </c>
      <c r="M36" s="47">
        <v>172407744.60921291</v>
      </c>
      <c r="N36" s="27">
        <v>30787193.308930814</v>
      </c>
      <c r="O36" s="27">
        <v>3757665.605671403</v>
      </c>
      <c r="P36" s="46">
        <f t="shared" si="14"/>
        <v>34544858.91460222</v>
      </c>
      <c r="Q36" s="27">
        <v>129149114.59077244</v>
      </c>
      <c r="R36" s="27">
        <v>2990226.6749257427</v>
      </c>
      <c r="S36" s="46">
        <f t="shared" si="15"/>
        <v>132139341.26569818</v>
      </c>
      <c r="T36" s="47">
        <v>96999913.433364958</v>
      </c>
      <c r="U36" s="27">
        <v>15306107.748383226</v>
      </c>
      <c r="V36" s="27">
        <v>1175165.5615991419</v>
      </c>
      <c r="W36" s="46">
        <f t="shared" si="12"/>
        <v>16481273.309982367</v>
      </c>
    </row>
    <row r="37" spans="1:23">
      <c r="D37" s="37"/>
      <c r="E37" s="37"/>
      <c r="F37" s="37"/>
      <c r="G37" s="37"/>
      <c r="I37" s="38" t="s">
        <v>56</v>
      </c>
      <c r="J37" s="13">
        <f>J34/J36</f>
        <v>-1159857.1112681199</v>
      </c>
      <c r="K37" s="24" t="s">
        <v>84</v>
      </c>
      <c r="L37" s="29">
        <v>2013</v>
      </c>
      <c r="M37" s="47">
        <v>153288189.8233678</v>
      </c>
      <c r="N37" s="27">
        <v>29375960.638683423</v>
      </c>
      <c r="O37" s="27">
        <v>3326542.0286801769</v>
      </c>
      <c r="P37" s="46">
        <f t="shared" si="14"/>
        <v>32702502.667363599</v>
      </c>
      <c r="Q37" s="27">
        <v>122603257.74713647</v>
      </c>
      <c r="R37" s="27">
        <v>2529175.1007839115</v>
      </c>
      <c r="S37" s="46">
        <f t="shared" si="15"/>
        <v>125132432.84792039</v>
      </c>
      <c r="T37" s="47">
        <v>97929067.43791388</v>
      </c>
      <c r="U37" s="27">
        <v>18773538.911106564</v>
      </c>
      <c r="V37" s="27">
        <v>1630580.2168529925</v>
      </c>
      <c r="W37" s="46">
        <f t="shared" si="12"/>
        <v>20404119.127959557</v>
      </c>
    </row>
    <row r="38" spans="1:23">
      <c r="A38" s="33" t="s">
        <v>111</v>
      </c>
      <c r="B38" s="33" t="s">
        <v>114</v>
      </c>
      <c r="D38" s="37" t="s">
        <v>119</v>
      </c>
      <c r="E38" s="37">
        <f>E33*E36</f>
        <v>105117587.33889866</v>
      </c>
      <c r="F38" s="37"/>
      <c r="G38" s="37"/>
      <c r="I38" s="38" t="s">
        <v>55</v>
      </c>
      <c r="J38" s="26">
        <v>197082636</v>
      </c>
    </row>
    <row r="39" spans="1:23">
      <c r="D39" s="37"/>
      <c r="E39" s="37"/>
      <c r="F39" s="37"/>
      <c r="G39" s="37"/>
      <c r="I39" s="37" t="s">
        <v>57</v>
      </c>
      <c r="J39" s="14">
        <f>-J37/J38</f>
        <v>5.8851309014768807E-3</v>
      </c>
      <c r="K39" s="24" t="s">
        <v>93</v>
      </c>
      <c r="M39" s="28">
        <f>SUM(M26:M38)</f>
        <v>2416259208.975246</v>
      </c>
      <c r="P39" s="28">
        <f>SUM(P26:P38)</f>
        <v>445408973.12498546</v>
      </c>
      <c r="S39" s="28">
        <f>SUM(S26:S38)</f>
        <v>1549942387.2160723</v>
      </c>
      <c r="T39" s="28">
        <f>SUM(T26:T38)</f>
        <v>1143656347.6442471</v>
      </c>
      <c r="W39" s="28">
        <f>SUM(W26:W38)</f>
        <v>141349855.34312823</v>
      </c>
    </row>
    <row r="40" spans="1:23">
      <c r="A40" s="33" t="s">
        <v>112</v>
      </c>
      <c r="B40" s="33" t="s">
        <v>115</v>
      </c>
      <c r="D40" s="37" t="s">
        <v>117</v>
      </c>
      <c r="E40" s="37">
        <f>E34*E35</f>
        <v>106226169.48699184</v>
      </c>
      <c r="F40" s="37"/>
      <c r="G40" s="37"/>
      <c r="H40" s="37"/>
      <c r="I40" s="37"/>
      <c r="J40" s="14"/>
    </row>
    <row r="41" spans="1:23">
      <c r="D41" s="37"/>
      <c r="E41" s="37"/>
      <c r="F41" s="37"/>
      <c r="G41" s="37"/>
      <c r="H41" s="37"/>
      <c r="I41" s="37"/>
      <c r="J41" s="14"/>
      <c r="K41" s="24" t="s">
        <v>94</v>
      </c>
      <c r="M41" s="27">
        <f>M39/M19</f>
        <v>11837.691157959373</v>
      </c>
      <c r="P41" s="27">
        <f>P39/P19</f>
        <v>15721.708532137185</v>
      </c>
      <c r="S41" s="27">
        <f>S39/S19</f>
        <v>500470.22575614712</v>
      </c>
      <c r="T41" s="27">
        <f>T39/T19</f>
        <v>47652347.818510294</v>
      </c>
      <c r="W41" s="27">
        <f>W39/W19</f>
        <v>57725.23360051521</v>
      </c>
    </row>
    <row r="42" spans="1:23">
      <c r="A42" s="33" t="s">
        <v>113</v>
      </c>
      <c r="B42" s="33" t="s">
        <v>116</v>
      </c>
      <c r="D42" s="37" t="s">
        <v>118</v>
      </c>
      <c r="E42" s="37">
        <f>E38-E40</f>
        <v>-1108582.1480931789</v>
      </c>
      <c r="F42" s="37"/>
      <c r="G42" s="37"/>
      <c r="H42" s="37"/>
      <c r="I42" s="37"/>
      <c r="J42" s="14"/>
    </row>
    <row r="43" spans="1:23">
      <c r="D43" s="37"/>
      <c r="E43" s="37"/>
      <c r="F43" s="37"/>
      <c r="G43" s="37"/>
      <c r="H43" s="37"/>
      <c r="I43" s="37"/>
      <c r="J43" s="14"/>
    </row>
    <row r="44" spans="1:23">
      <c r="D44" s="37"/>
      <c r="E44" s="37"/>
      <c r="F44" s="37"/>
      <c r="G44" s="37"/>
      <c r="H44" s="37"/>
      <c r="I44" s="37"/>
      <c r="J44" s="14"/>
    </row>
    <row r="45" spans="1:23">
      <c r="D45" s="37"/>
      <c r="E45" s="37"/>
      <c r="F45" s="37"/>
      <c r="G45" s="37"/>
      <c r="H45" s="37"/>
      <c r="I45" s="37"/>
      <c r="J45" s="14"/>
      <c r="M45" s="4"/>
    </row>
    <row r="46" spans="1:23">
      <c r="E46" s="37"/>
      <c r="M46" s="22"/>
      <c r="N46" s="22"/>
      <c r="O46" s="22"/>
      <c r="P46" s="22"/>
    </row>
    <row r="47" spans="1:23">
      <c r="L47" s="23"/>
      <c r="M47" s="27"/>
      <c r="N47" s="27"/>
      <c r="O47" s="27"/>
      <c r="P47" s="28"/>
    </row>
    <row r="48" spans="1:23" ht="18.75">
      <c r="A48" s="3" t="s">
        <v>100</v>
      </c>
      <c r="L48" s="24"/>
      <c r="M48" s="27"/>
      <c r="N48" s="27"/>
      <c r="O48" s="27"/>
      <c r="P48" s="28"/>
    </row>
    <row r="49" spans="1:16">
      <c r="L49" s="23"/>
      <c r="M49" s="27"/>
      <c r="N49" s="27"/>
      <c r="O49" s="27"/>
      <c r="P49" s="28"/>
    </row>
    <row r="50" spans="1:16">
      <c r="C50" s="33">
        <v>2012</v>
      </c>
      <c r="D50" s="15" t="s">
        <v>29</v>
      </c>
      <c r="E50" s="15" t="s">
        <v>30</v>
      </c>
      <c r="F50" s="15" t="s">
        <v>31</v>
      </c>
      <c r="G50" s="15" t="s">
        <v>32</v>
      </c>
      <c r="H50" s="15" t="s">
        <v>33</v>
      </c>
      <c r="I50" s="4" t="s">
        <v>34</v>
      </c>
      <c r="L50" s="24"/>
      <c r="M50" s="27"/>
      <c r="N50" s="27"/>
      <c r="O50" s="27"/>
      <c r="P50" s="28"/>
    </row>
    <row r="51" spans="1:16">
      <c r="A51" s="33" t="s">
        <v>35</v>
      </c>
      <c r="B51" s="33" t="s">
        <v>164</v>
      </c>
      <c r="D51" s="16">
        <f>'Page 2-4'!E45</f>
        <v>5.913825364888145E-2</v>
      </c>
      <c r="E51" s="16">
        <f>'Page 2-4'!E46</f>
        <v>5.7340574036023759E-2</v>
      </c>
      <c r="F51" s="16">
        <f>'Page 2-4'!E47</f>
        <v>6.5562144528613434E-2</v>
      </c>
      <c r="G51" s="16">
        <f>'Page 2-4'!E48</f>
        <v>5.7272432754908321E-2</v>
      </c>
      <c r="H51" s="16">
        <f>'Page 2-4'!E49</f>
        <v>5.493539129771751E-2</v>
      </c>
      <c r="I51" s="5">
        <f>'Page 2-4'!E50</f>
        <v>4.8953573704267853E-2</v>
      </c>
      <c r="L51" s="23"/>
      <c r="M51" s="27"/>
      <c r="N51" s="27"/>
      <c r="O51" s="27"/>
      <c r="P51" s="28"/>
    </row>
    <row r="52" spans="1:16">
      <c r="A52" s="33" t="s">
        <v>36</v>
      </c>
      <c r="B52" s="33" t="s">
        <v>37</v>
      </c>
      <c r="D52" s="17">
        <f>'Page 2-4'!C45</f>
        <v>73.407836446604435</v>
      </c>
      <c r="E52" s="17">
        <f>'Page 2-4'!C46</f>
        <v>73.407836446604435</v>
      </c>
      <c r="F52" s="17">
        <f>'Page 2-4'!C47</f>
        <v>73.407836446604435</v>
      </c>
      <c r="G52" s="17">
        <f>'Page 2-4'!C48</f>
        <v>73.407836446604435</v>
      </c>
      <c r="H52" s="17">
        <f>'Page 2-4'!C49</f>
        <v>73.407836446604435</v>
      </c>
      <c r="I52" s="6">
        <f>'Page 2-4'!C50</f>
        <v>73.407836446604435</v>
      </c>
      <c r="L52" s="24"/>
      <c r="M52" s="27"/>
      <c r="N52" s="27"/>
      <c r="O52" s="27"/>
      <c r="P52" s="28"/>
    </row>
    <row r="53" spans="1:16">
      <c r="A53" s="34" t="s">
        <v>38</v>
      </c>
      <c r="B53" s="34" t="s">
        <v>39</v>
      </c>
      <c r="C53" s="34"/>
      <c r="D53" s="35">
        <v>28144.5</v>
      </c>
      <c r="E53" s="35">
        <v>28148.2</v>
      </c>
      <c r="F53" s="35">
        <v>28173.9</v>
      </c>
      <c r="G53" s="35">
        <v>28179.65</v>
      </c>
      <c r="H53" s="35">
        <v>28199.325000000001</v>
      </c>
      <c r="I53" s="35">
        <v>28216.025000000001</v>
      </c>
      <c r="J53" s="34"/>
      <c r="L53" s="23"/>
      <c r="M53" s="27"/>
      <c r="N53" s="27"/>
      <c r="O53" s="27"/>
      <c r="P53" s="28"/>
    </row>
    <row r="54" spans="1:16">
      <c r="A54" s="34" t="s">
        <v>40</v>
      </c>
      <c r="B54" s="34" t="s">
        <v>41</v>
      </c>
      <c r="C54" s="34"/>
      <c r="D54" s="35">
        <v>37203410.747649163</v>
      </c>
      <c r="E54" s="35">
        <v>38881683.967800424</v>
      </c>
      <c r="F54" s="35">
        <v>34105870.42906972</v>
      </c>
      <c r="G54" s="35">
        <v>35412506.400316074</v>
      </c>
      <c r="H54" s="35">
        <v>37267700.451638415</v>
      </c>
      <c r="I54" s="35">
        <v>42803963.921333984</v>
      </c>
      <c r="J54" s="34"/>
      <c r="L54" s="24"/>
      <c r="M54" s="27"/>
      <c r="N54" s="27"/>
      <c r="O54" s="27"/>
      <c r="P54" s="28"/>
    </row>
    <row r="55" spans="1:16">
      <c r="D55" s="7"/>
      <c r="E55" s="7"/>
      <c r="F55" s="7"/>
      <c r="G55" s="7"/>
      <c r="H55" s="35"/>
      <c r="I55" s="35"/>
      <c r="L55" s="23"/>
      <c r="M55" s="27"/>
      <c r="N55" s="27"/>
      <c r="O55" s="27"/>
      <c r="P55" s="28"/>
    </row>
    <row r="56" spans="1:16">
      <c r="D56" s="7"/>
      <c r="E56" s="7"/>
      <c r="F56" s="7"/>
      <c r="G56" s="7"/>
      <c r="H56" s="7"/>
      <c r="I56" s="7"/>
      <c r="L56" s="24"/>
      <c r="M56" s="27"/>
      <c r="N56" s="27"/>
      <c r="O56" s="27"/>
      <c r="P56" s="28"/>
    </row>
    <row r="57" spans="1:16">
      <c r="A57" s="33" t="s">
        <v>48</v>
      </c>
      <c r="B57" s="33" t="s">
        <v>42</v>
      </c>
      <c r="C57" s="33" t="s">
        <v>43</v>
      </c>
      <c r="D57" s="7">
        <f t="shared" ref="D57:I57" si="16">D54*D51</f>
        <v>2200144.7413979983</v>
      </c>
      <c r="E57" s="7">
        <f t="shared" si="16"/>
        <v>2229498.0782009382</v>
      </c>
      <c r="F57" s="7">
        <f t="shared" si="16"/>
        <v>2236054.006344832</v>
      </c>
      <c r="G57" s="7">
        <f t="shared" si="16"/>
        <v>2028160.391494863</v>
      </c>
      <c r="H57" s="7">
        <f t="shared" si="16"/>
        <v>2047315.7070768799</v>
      </c>
      <c r="I57" s="7">
        <f t="shared" si="16"/>
        <v>2095407.0026578452</v>
      </c>
      <c r="L57" s="23"/>
      <c r="M57" s="27"/>
      <c r="N57" s="27"/>
      <c r="O57" s="27"/>
      <c r="P57" s="28"/>
    </row>
    <row r="58" spans="1:16">
      <c r="L58" s="24"/>
      <c r="M58" s="27"/>
      <c r="N58" s="27"/>
      <c r="O58" s="27"/>
      <c r="P58" s="28"/>
    </row>
    <row r="59" spans="1:16">
      <c r="A59" s="33" t="s">
        <v>49</v>
      </c>
      <c r="B59" s="33" t="s">
        <v>44</v>
      </c>
      <c r="C59" s="33" t="s">
        <v>45</v>
      </c>
      <c r="D59" s="7">
        <f t="shared" ref="D59:I59" si="17">D52*D53</f>
        <v>2066026.8528714585</v>
      </c>
      <c r="E59" s="7">
        <f t="shared" si="17"/>
        <v>2066298.461866311</v>
      </c>
      <c r="F59" s="7">
        <f t="shared" si="17"/>
        <v>2068185.0432629888</v>
      </c>
      <c r="G59" s="7">
        <f t="shared" si="17"/>
        <v>2068607.1383225569</v>
      </c>
      <c r="H59" s="7">
        <f t="shared" si="17"/>
        <v>2070051.4375046436</v>
      </c>
      <c r="I59" s="7">
        <f t="shared" si="17"/>
        <v>2071277.348373302</v>
      </c>
    </row>
    <row r="60" spans="1:16">
      <c r="L60" s="24"/>
      <c r="M60" s="28"/>
      <c r="P60" s="28"/>
    </row>
    <row r="61" spans="1:16">
      <c r="A61" s="33" t="s">
        <v>50</v>
      </c>
      <c r="B61" s="33" t="s">
        <v>46</v>
      </c>
      <c r="C61" s="33" t="s">
        <v>51</v>
      </c>
      <c r="D61" s="37">
        <f>D57-D59</f>
        <v>134117.88852653978</v>
      </c>
      <c r="E61" s="37">
        <f t="shared" ref="E61:I61" si="18">E57-E59</f>
        <v>163199.61633462715</v>
      </c>
      <c r="F61" s="37">
        <f t="shared" si="18"/>
        <v>167868.96308184322</v>
      </c>
      <c r="G61" s="37">
        <f t="shared" si="18"/>
        <v>-40446.746827693889</v>
      </c>
      <c r="H61" s="37">
        <f t="shared" si="18"/>
        <v>-22735.730427763658</v>
      </c>
      <c r="I61" s="37">
        <f t="shared" si="18"/>
        <v>24129.654284543125</v>
      </c>
    </row>
    <row r="62" spans="1:16">
      <c r="D62" s="37"/>
      <c r="E62" s="37"/>
      <c r="F62" s="37"/>
      <c r="G62" s="37"/>
      <c r="H62" s="37"/>
      <c r="I62" s="37"/>
      <c r="J62" s="12"/>
      <c r="L62" s="24"/>
      <c r="M62" s="27"/>
      <c r="P62" s="27"/>
    </row>
    <row r="63" spans="1:16">
      <c r="D63" s="37"/>
      <c r="E63" s="37"/>
      <c r="F63" s="37"/>
      <c r="G63" s="37"/>
      <c r="H63" s="37"/>
      <c r="I63" s="37"/>
      <c r="J63" s="12"/>
    </row>
    <row r="64" spans="1:16">
      <c r="C64" s="33">
        <v>2013</v>
      </c>
      <c r="D64" s="4" t="s">
        <v>23</v>
      </c>
      <c r="E64" s="4" t="s">
        <v>24</v>
      </c>
      <c r="F64" s="4" t="s">
        <v>25</v>
      </c>
      <c r="G64" s="4" t="s">
        <v>26</v>
      </c>
      <c r="H64" s="4" t="s">
        <v>27</v>
      </c>
      <c r="I64" s="4" t="s">
        <v>28</v>
      </c>
      <c r="J64" s="12"/>
    </row>
    <row r="65" spans="1:19">
      <c r="A65" s="33" t="s">
        <v>35</v>
      </c>
      <c r="B65" s="33" t="s">
        <v>164</v>
      </c>
      <c r="D65" s="5">
        <f>'Page 2-4'!E39</f>
        <v>5.4174222913792952E-2</v>
      </c>
      <c r="E65" s="5">
        <f>'Page 2-4'!E40</f>
        <v>5.4283900079926055E-2</v>
      </c>
      <c r="F65" s="5">
        <f>'Page 2-4'!E41</f>
        <v>5.6764388819954693E-2</v>
      </c>
      <c r="G65" s="5">
        <f>'Page 2-4'!E42</f>
        <v>6.5114574039115428E-2</v>
      </c>
      <c r="H65" s="5">
        <f>'Page 2-4'!E43</f>
        <v>7.0940827906971954E-2</v>
      </c>
      <c r="I65" s="5">
        <f>'Page 2-4'!E44</f>
        <v>6.7281965844471464E-2</v>
      </c>
      <c r="J65" s="12"/>
    </row>
    <row r="66" spans="1:19">
      <c r="A66" s="33" t="s">
        <v>36</v>
      </c>
      <c r="B66" s="33" t="s">
        <v>37</v>
      </c>
      <c r="D66" s="6">
        <f>'Page 2-4'!C39</f>
        <v>73.407836446604435</v>
      </c>
      <c r="E66" s="6">
        <f>'Page 2-4'!C40</f>
        <v>73.407836446604435</v>
      </c>
      <c r="F66" s="6">
        <f>'Page 2-4'!C41</f>
        <v>73.407836446604435</v>
      </c>
      <c r="G66" s="6">
        <f>'Page 2-4'!C42</f>
        <v>73.407836446604435</v>
      </c>
      <c r="H66" s="6">
        <f>'Page 2-4'!C43</f>
        <v>73.407836446604435</v>
      </c>
      <c r="I66" s="6">
        <f>'Page 2-4'!C44</f>
        <v>73.407836446604435</v>
      </c>
      <c r="J66" s="12"/>
      <c r="L66" s="23"/>
      <c r="M66" s="22"/>
      <c r="N66" s="22"/>
      <c r="O66" s="22"/>
      <c r="P66" s="22"/>
      <c r="Q66" s="22"/>
      <c r="R66" s="22"/>
      <c r="S66" s="22"/>
    </row>
    <row r="67" spans="1:19">
      <c r="A67" s="34" t="s">
        <v>38</v>
      </c>
      <c r="B67" s="34" t="s">
        <v>39</v>
      </c>
      <c r="C67" s="34"/>
      <c r="D67" s="35">
        <v>28259.15</v>
      </c>
      <c r="E67" s="35">
        <v>28326.25</v>
      </c>
      <c r="F67" s="35">
        <v>28469.65</v>
      </c>
      <c r="G67" s="35">
        <v>28532.3</v>
      </c>
      <c r="H67" s="35">
        <v>28600.699999999997</v>
      </c>
      <c r="I67" s="35">
        <v>28720.25</v>
      </c>
      <c r="J67" s="12"/>
      <c r="M67" s="27"/>
      <c r="N67" s="27"/>
      <c r="O67" s="27"/>
      <c r="P67" s="28"/>
      <c r="Q67" s="27"/>
      <c r="R67" s="27"/>
      <c r="S67" s="28"/>
    </row>
    <row r="68" spans="1:19">
      <c r="A68" s="34" t="s">
        <v>40</v>
      </c>
      <c r="B68" s="34" t="s">
        <v>41</v>
      </c>
      <c r="C68" s="34"/>
      <c r="D68" s="35">
        <v>43414012.512637183</v>
      </c>
      <c r="E68" s="35">
        <v>36873856.014512077</v>
      </c>
      <c r="F68" s="35">
        <v>39085909.013847016</v>
      </c>
      <c r="G68" s="35">
        <v>33112698.084215652</v>
      </c>
      <c r="H68" s="35">
        <v>34544858.91460222</v>
      </c>
      <c r="I68" s="35">
        <v>32702502.667363599</v>
      </c>
      <c r="J68" s="12"/>
      <c r="M68" s="27"/>
      <c r="N68" s="27"/>
      <c r="O68" s="27"/>
      <c r="P68" s="28"/>
      <c r="Q68" s="27"/>
      <c r="R68" s="27"/>
      <c r="S68" s="28"/>
    </row>
    <row r="69" spans="1:19">
      <c r="D69" s="7"/>
      <c r="E69" s="7"/>
      <c r="F69" s="7"/>
      <c r="G69" s="7"/>
      <c r="H69" s="7"/>
      <c r="I69" s="7"/>
      <c r="J69" s="12"/>
      <c r="M69" s="27"/>
      <c r="N69" s="27"/>
      <c r="O69" s="27"/>
      <c r="P69" s="28"/>
      <c r="Q69" s="27"/>
      <c r="R69" s="27"/>
      <c r="S69" s="28"/>
    </row>
    <row r="70" spans="1:19">
      <c r="D70" s="7"/>
      <c r="E70" s="7"/>
      <c r="F70" s="7"/>
      <c r="G70" s="7"/>
      <c r="H70" s="7"/>
      <c r="I70" s="7"/>
      <c r="J70" s="12"/>
      <c r="M70" s="27"/>
      <c r="N70" s="27"/>
      <c r="O70" s="27"/>
      <c r="P70" s="28"/>
      <c r="Q70" s="27"/>
      <c r="R70" s="27"/>
      <c r="S70" s="28"/>
    </row>
    <row r="71" spans="1:19">
      <c r="A71" s="33" t="s">
        <v>48</v>
      </c>
      <c r="B71" s="33" t="s">
        <v>42</v>
      </c>
      <c r="C71" s="33" t="s">
        <v>43</v>
      </c>
      <c r="D71" s="7">
        <f>D68*D65</f>
        <v>2351920.3914418034</v>
      </c>
      <c r="E71" s="7">
        <f t="shared" ref="E71:I71" si="19">E68*E65</f>
        <v>2001656.7154533539</v>
      </c>
      <c r="F71" s="7">
        <f t="shared" si="19"/>
        <v>2218687.7366433837</v>
      </c>
      <c r="G71" s="7">
        <f t="shared" si="19"/>
        <v>2156119.2310395357</v>
      </c>
      <c r="H71" s="7">
        <f t="shared" si="19"/>
        <v>2450640.8913314221</v>
      </c>
      <c r="I71" s="7">
        <f t="shared" si="19"/>
        <v>2200288.6674942947</v>
      </c>
      <c r="J71" s="12"/>
      <c r="M71" s="27"/>
      <c r="N71" s="27"/>
      <c r="O71" s="27"/>
      <c r="P71" s="28"/>
      <c r="Q71" s="27"/>
      <c r="R71" s="27"/>
      <c r="S71" s="28"/>
    </row>
    <row r="72" spans="1:19">
      <c r="J72" s="12"/>
    </row>
    <row r="73" spans="1:19">
      <c r="A73" s="33" t="s">
        <v>49</v>
      </c>
      <c r="B73" s="33" t="s">
        <v>44</v>
      </c>
      <c r="C73" s="33" t="s">
        <v>45</v>
      </c>
      <c r="D73" s="7">
        <f>D66*D67</f>
        <v>2074443.0613200618</v>
      </c>
      <c r="E73" s="7">
        <f t="shared" ref="E73:I73" si="20">E66*E67</f>
        <v>2079368.7271456288</v>
      </c>
      <c r="F73" s="7">
        <f t="shared" si="20"/>
        <v>2089895.4108920721</v>
      </c>
      <c r="G73" s="7">
        <f t="shared" si="20"/>
        <v>2094494.4118454517</v>
      </c>
      <c r="H73" s="7">
        <f t="shared" si="20"/>
        <v>2099515.5078583993</v>
      </c>
      <c r="I73" s="7">
        <f t="shared" si="20"/>
        <v>2108291.4147055908</v>
      </c>
      <c r="J73" s="12"/>
    </row>
    <row r="74" spans="1:19">
      <c r="J74" s="12"/>
      <c r="L74" s="23"/>
      <c r="M74" s="22"/>
      <c r="N74" s="22"/>
      <c r="O74" s="22"/>
      <c r="P74" s="22"/>
      <c r="Q74" s="22"/>
      <c r="R74" s="22"/>
      <c r="S74" s="22"/>
    </row>
    <row r="75" spans="1:19">
      <c r="A75" s="33" t="s">
        <v>50</v>
      </c>
      <c r="B75" s="33" t="s">
        <v>46</v>
      </c>
      <c r="C75" s="33" t="s">
        <v>51</v>
      </c>
      <c r="D75" s="37">
        <f>D71-D73</f>
        <v>277477.33012174163</v>
      </c>
      <c r="E75" s="37">
        <f t="shared" ref="E75:I75" si="21">E71-E73</f>
        <v>-77712.011692274828</v>
      </c>
      <c r="F75" s="37">
        <f t="shared" si="21"/>
        <v>128792.32575131161</v>
      </c>
      <c r="G75" s="37">
        <f t="shared" si="21"/>
        <v>61624.819194084033</v>
      </c>
      <c r="H75" s="37">
        <f t="shared" si="21"/>
        <v>351125.38347302284</v>
      </c>
      <c r="I75" s="37">
        <f t="shared" si="21"/>
        <v>91997.252788703889</v>
      </c>
      <c r="J75" s="37">
        <f>SUM(D75:I75)+D61+E61+F61+G61+H61+I61</f>
        <v>1259438.7446086849</v>
      </c>
      <c r="M75" s="27"/>
      <c r="N75" s="27"/>
      <c r="O75" s="27"/>
      <c r="P75" s="28"/>
      <c r="Q75" s="27"/>
      <c r="R75" s="27"/>
      <c r="S75" s="28"/>
    </row>
    <row r="76" spans="1:19">
      <c r="D76" s="37"/>
      <c r="E76" s="37"/>
      <c r="F76" s="37"/>
      <c r="G76" s="37"/>
      <c r="H76" s="37"/>
      <c r="I76" s="37"/>
      <c r="J76" s="12"/>
      <c r="M76" s="27"/>
      <c r="N76" s="27"/>
      <c r="O76" s="27"/>
      <c r="P76" s="28"/>
      <c r="Q76" s="27"/>
      <c r="R76" s="27"/>
      <c r="S76" s="28"/>
    </row>
    <row r="77" spans="1:19">
      <c r="A77" s="33" t="s">
        <v>103</v>
      </c>
      <c r="B77" s="33" t="s">
        <v>121</v>
      </c>
      <c r="D77" s="37"/>
      <c r="E77" s="37"/>
      <c r="F77" s="37"/>
      <c r="G77" s="37"/>
      <c r="H77" s="37"/>
      <c r="J77" s="37">
        <f>E88-SUM(D61:I61,D75:I75)</f>
        <v>-80314.152156944852</v>
      </c>
      <c r="M77" s="27"/>
      <c r="N77" s="27"/>
      <c r="O77" s="27"/>
      <c r="P77" s="28"/>
      <c r="Q77" s="27"/>
      <c r="R77" s="27"/>
      <c r="S77" s="28"/>
    </row>
    <row r="78" spans="1:19">
      <c r="D78" s="37"/>
      <c r="E78" s="37"/>
      <c r="F78" s="37"/>
      <c r="G78" s="37"/>
      <c r="H78" s="37"/>
      <c r="I78" s="37"/>
      <c r="J78" s="12"/>
      <c r="M78" s="27"/>
      <c r="N78" s="27"/>
      <c r="O78" s="27"/>
      <c r="P78" s="28"/>
      <c r="Q78" s="27"/>
      <c r="R78" s="27"/>
      <c r="S78" s="28"/>
    </row>
    <row r="79" spans="1:19" ht="15.75" thickBot="1">
      <c r="A79" s="33" t="s">
        <v>107</v>
      </c>
      <c r="B79" s="33" t="s">
        <v>165</v>
      </c>
      <c r="E79" s="5">
        <f>'Page 2-4'!D36</f>
        <v>5.8677711912836453E-2</v>
      </c>
      <c r="F79" s="37"/>
      <c r="G79" s="37"/>
      <c r="H79" s="37"/>
      <c r="I79" s="37"/>
      <c r="J79" s="12"/>
      <c r="M79" s="27"/>
      <c r="N79" s="27"/>
      <c r="O79" s="27"/>
      <c r="P79" s="28"/>
      <c r="Q79" s="27"/>
      <c r="R79" s="27"/>
      <c r="S79" s="28"/>
    </row>
    <row r="80" spans="1:19" ht="15.75" thickBot="1">
      <c r="A80" s="33" t="s">
        <v>108</v>
      </c>
      <c r="B80" s="33" t="s">
        <v>104</v>
      </c>
      <c r="E80" s="37">
        <f>'Page 2-4'!D35</f>
        <v>880.89403735925328</v>
      </c>
      <c r="F80" s="37"/>
      <c r="G80" s="37"/>
      <c r="H80" s="37"/>
      <c r="I80" s="38" t="s">
        <v>120</v>
      </c>
      <c r="J80" s="39">
        <f>E88</f>
        <v>1179124.5924517401</v>
      </c>
    </row>
    <row r="81" spans="1:19">
      <c r="A81" s="33" t="s">
        <v>109</v>
      </c>
      <c r="B81" s="33" t="s">
        <v>105</v>
      </c>
      <c r="E81" s="27">
        <f>AVERAGE(D53:I53,D67:I67)</f>
        <v>28330.825000000001</v>
      </c>
      <c r="F81" s="37"/>
      <c r="G81" s="37"/>
      <c r="H81" s="37"/>
      <c r="I81" s="37"/>
      <c r="J81" s="12"/>
    </row>
    <row r="82" spans="1:19">
      <c r="A82" s="33" t="s">
        <v>110</v>
      </c>
      <c r="B82" s="33" t="s">
        <v>106</v>
      </c>
      <c r="E82" s="27">
        <f>SUM(D54:I54,D68:I68)</f>
        <v>445408973.12498546</v>
      </c>
      <c r="F82" s="37"/>
      <c r="G82" s="37"/>
      <c r="H82" s="37"/>
      <c r="I82" s="38" t="s">
        <v>54</v>
      </c>
      <c r="J82" s="25">
        <v>0.95579199999999997</v>
      </c>
      <c r="L82" s="23"/>
      <c r="M82" s="22"/>
      <c r="P82" s="22"/>
      <c r="S82" s="22"/>
    </row>
    <row r="83" spans="1:19">
      <c r="D83" s="37"/>
      <c r="E83" s="37"/>
      <c r="F83" s="37"/>
      <c r="G83" s="37"/>
      <c r="H83" s="37"/>
      <c r="I83" s="38" t="s">
        <v>56</v>
      </c>
      <c r="J83" s="13">
        <f>J80/J82</f>
        <v>1233662.3370479562</v>
      </c>
      <c r="M83" s="27"/>
      <c r="P83" s="27"/>
      <c r="S83" s="27"/>
    </row>
    <row r="84" spans="1:19">
      <c r="A84" s="33" t="s">
        <v>111</v>
      </c>
      <c r="B84" s="33" t="s">
        <v>114</v>
      </c>
      <c r="D84" s="37" t="s">
        <v>119</v>
      </c>
      <c r="E84" s="37">
        <f>E79*E82</f>
        <v>26135579.408420209</v>
      </c>
      <c r="F84" s="37"/>
      <c r="G84" s="37"/>
      <c r="H84" s="37"/>
      <c r="I84" s="38" t="s">
        <v>55</v>
      </c>
      <c r="J84" s="26">
        <v>47252760</v>
      </c>
      <c r="M84" s="27"/>
      <c r="P84" s="27"/>
      <c r="S84" s="27"/>
    </row>
    <row r="85" spans="1:19">
      <c r="D85" s="37"/>
      <c r="E85" s="37"/>
      <c r="F85" s="37"/>
      <c r="G85" s="37"/>
      <c r="H85" s="37"/>
      <c r="I85" s="37" t="s">
        <v>57</v>
      </c>
      <c r="J85" s="14">
        <f>-J83/J84</f>
        <v>-2.6107730787534023E-2</v>
      </c>
      <c r="M85" s="27"/>
      <c r="P85" s="27"/>
      <c r="S85" s="27"/>
    </row>
    <row r="86" spans="1:19">
      <c r="A86" s="33" t="s">
        <v>112</v>
      </c>
      <c r="B86" s="33" t="s">
        <v>115</v>
      </c>
      <c r="D86" s="37" t="s">
        <v>117</v>
      </c>
      <c r="E86" s="37">
        <f>E80*E81</f>
        <v>24956454.815968469</v>
      </c>
      <c r="F86" s="37"/>
      <c r="G86" s="37"/>
      <c r="H86" s="37"/>
      <c r="I86" s="37"/>
      <c r="J86" s="12"/>
      <c r="M86" s="27"/>
      <c r="P86" s="27"/>
      <c r="S86" s="27"/>
    </row>
    <row r="87" spans="1:19">
      <c r="D87" s="37"/>
      <c r="E87" s="37"/>
      <c r="F87" s="37"/>
      <c r="G87" s="37"/>
      <c r="H87" s="37"/>
      <c r="I87" s="37"/>
      <c r="J87" s="12"/>
      <c r="M87" s="27"/>
      <c r="P87" s="27"/>
      <c r="S87" s="27"/>
    </row>
    <row r="88" spans="1:19">
      <c r="A88" s="33" t="s">
        <v>113</v>
      </c>
      <c r="B88" s="33" t="s">
        <v>116</v>
      </c>
      <c r="D88" s="37" t="s">
        <v>118</v>
      </c>
      <c r="E88" s="37">
        <f>E84-E86</f>
        <v>1179124.5924517401</v>
      </c>
      <c r="F88" s="37"/>
      <c r="G88" s="37"/>
      <c r="H88" s="37"/>
      <c r="I88" s="37"/>
      <c r="J88" s="12"/>
    </row>
    <row r="89" spans="1:19">
      <c r="D89" s="37"/>
      <c r="E89" s="37"/>
      <c r="F89" s="37"/>
      <c r="G89" s="37"/>
      <c r="H89" s="37"/>
      <c r="I89" s="37"/>
      <c r="J89" s="12"/>
    </row>
    <row r="90" spans="1:19">
      <c r="D90" s="37"/>
      <c r="E90" s="37"/>
      <c r="F90" s="37"/>
      <c r="G90" s="37"/>
      <c r="H90" s="37"/>
      <c r="I90" s="37"/>
      <c r="J90" s="12"/>
    </row>
    <row r="91" spans="1:19">
      <c r="D91" s="37"/>
      <c r="E91" s="37"/>
      <c r="F91" s="37"/>
      <c r="G91" s="37"/>
      <c r="H91" s="37"/>
      <c r="I91" s="37"/>
      <c r="J91" s="12"/>
    </row>
    <row r="92" spans="1:19">
      <c r="D92" s="37"/>
      <c r="E92" s="37"/>
      <c r="F92" s="37"/>
      <c r="G92" s="37"/>
      <c r="H92" s="37"/>
    </row>
    <row r="94" spans="1:19" ht="18.75">
      <c r="A94" s="3" t="s">
        <v>102</v>
      </c>
    </row>
    <row r="96" spans="1:19">
      <c r="C96" s="33">
        <v>2012</v>
      </c>
      <c r="D96" s="15" t="s">
        <v>29</v>
      </c>
      <c r="E96" s="15" t="s">
        <v>30</v>
      </c>
      <c r="F96" s="15" t="s">
        <v>31</v>
      </c>
      <c r="G96" s="15" t="s">
        <v>32</v>
      </c>
      <c r="H96" s="15" t="s">
        <v>33</v>
      </c>
      <c r="I96" s="4" t="s">
        <v>34</v>
      </c>
    </row>
    <row r="97" spans="1:10">
      <c r="A97" s="33" t="s">
        <v>35</v>
      </c>
      <c r="B97" s="33" t="s">
        <v>164</v>
      </c>
      <c r="D97" s="16">
        <f>'Page 2-4'!E72</f>
        <v>2.4926319987145621E-2</v>
      </c>
      <c r="E97" s="16">
        <f>'Page 2-4'!E73</f>
        <v>2.5035301627144117E-2</v>
      </c>
      <c r="F97" s="16">
        <f>'Page 2-4'!E74</f>
        <v>2.8669597436965601E-2</v>
      </c>
      <c r="G97" s="16">
        <f>'Page 2-4'!E75</f>
        <v>2.4268212830522773E-2</v>
      </c>
      <c r="H97" s="16">
        <f>'Page 2-4'!E76</f>
        <v>2.5225485676485977E-2</v>
      </c>
      <c r="I97" s="5">
        <f>'Page 2-4'!E77</f>
        <v>2.828671486771733E-2</v>
      </c>
    </row>
    <row r="98" spans="1:10">
      <c r="A98" s="33" t="s">
        <v>36</v>
      </c>
      <c r="B98" s="33" t="s">
        <v>37</v>
      </c>
      <c r="D98" s="17">
        <f>'Page 2-4'!C72</f>
        <v>1067.1433053054157</v>
      </c>
      <c r="E98" s="17">
        <f>'Page 2-4'!C73</f>
        <v>1067.1433053054157</v>
      </c>
      <c r="F98" s="17">
        <f>'Page 2-4'!C74</f>
        <v>1067.1433053054157</v>
      </c>
      <c r="G98" s="17">
        <f>'Page 2-4'!C75</f>
        <v>1067.1433053054157</v>
      </c>
      <c r="H98" s="17">
        <f>'Page 2-4'!C76</f>
        <v>1067.1433053054157</v>
      </c>
      <c r="I98" s="6">
        <f>'Page 2-4'!C77</f>
        <v>1067.1433053054157</v>
      </c>
    </row>
    <row r="99" spans="1:10">
      <c r="A99" s="34" t="s">
        <v>38</v>
      </c>
      <c r="B99" s="34" t="s">
        <v>39</v>
      </c>
      <c r="C99" s="34"/>
      <c r="D99" s="35">
        <v>3080</v>
      </c>
      <c r="E99" s="35">
        <v>3083</v>
      </c>
      <c r="F99" s="35">
        <v>3084.3333333333335</v>
      </c>
      <c r="G99" s="35">
        <v>3074</v>
      </c>
      <c r="H99" s="35">
        <v>3089</v>
      </c>
      <c r="I99" s="35">
        <v>3094</v>
      </c>
      <c r="J99" s="34"/>
    </row>
    <row r="100" spans="1:10">
      <c r="A100" s="34" t="s">
        <v>40</v>
      </c>
      <c r="B100" s="34" t="s">
        <v>41</v>
      </c>
      <c r="C100" s="34"/>
      <c r="D100" s="35">
        <v>140351136.14664474</v>
      </c>
      <c r="E100" s="35">
        <v>145785142.16122672</v>
      </c>
      <c r="F100" s="35">
        <v>129305870.17876504</v>
      </c>
      <c r="G100" s="35">
        <v>131027889.63997497</v>
      </c>
      <c r="H100" s="35">
        <v>122900185.47246051</v>
      </c>
      <c r="I100" s="35">
        <v>131072904.95086642</v>
      </c>
      <c r="J100" s="34"/>
    </row>
    <row r="101" spans="1:10">
      <c r="D101" s="7"/>
      <c r="E101" s="7"/>
      <c r="F101" s="7"/>
      <c r="G101" s="7"/>
      <c r="H101" s="35"/>
      <c r="I101" s="35"/>
    </row>
    <row r="102" spans="1:10">
      <c r="D102" s="7"/>
      <c r="E102" s="7"/>
      <c r="F102" s="7"/>
      <c r="G102" s="7"/>
      <c r="H102" s="7"/>
      <c r="I102" s="7"/>
    </row>
    <row r="103" spans="1:10">
      <c r="A103" s="33" t="s">
        <v>48</v>
      </c>
      <c r="B103" s="33" t="s">
        <v>42</v>
      </c>
      <c r="C103" s="33" t="s">
        <v>43</v>
      </c>
      <c r="D103" s="7">
        <f t="shared" ref="D103:I103" si="22">D100*D97</f>
        <v>3498437.3301507072</v>
      </c>
      <c r="E103" s="7">
        <f t="shared" si="22"/>
        <v>3649775.0067623956</v>
      </c>
      <c r="F103" s="7">
        <f t="shared" si="22"/>
        <v>3707147.2442617291</v>
      </c>
      <c r="G103" s="7">
        <f t="shared" si="22"/>
        <v>3179812.7125171623</v>
      </c>
      <c r="H103" s="7">
        <f t="shared" si="22"/>
        <v>3100216.8682730226</v>
      </c>
      <c r="I103" s="7">
        <f t="shared" si="22"/>
        <v>3707621.8892285735</v>
      </c>
    </row>
    <row r="105" spans="1:10">
      <c r="A105" s="33" t="s">
        <v>49</v>
      </c>
      <c r="B105" s="33" t="s">
        <v>44</v>
      </c>
      <c r="C105" s="33" t="s">
        <v>45</v>
      </c>
      <c r="D105" s="7">
        <f t="shared" ref="D105:I105" si="23">D98*D99</f>
        <v>3286801.38034068</v>
      </c>
      <c r="E105" s="7">
        <f t="shared" si="23"/>
        <v>3290002.8102565967</v>
      </c>
      <c r="F105" s="7">
        <f t="shared" si="23"/>
        <v>3291425.667997004</v>
      </c>
      <c r="G105" s="7">
        <f t="shared" si="23"/>
        <v>3280398.5205088477</v>
      </c>
      <c r="H105" s="7">
        <f t="shared" si="23"/>
        <v>3296405.670088429</v>
      </c>
      <c r="I105" s="7">
        <f t="shared" si="23"/>
        <v>3301741.386614956</v>
      </c>
    </row>
    <row r="107" spans="1:10">
      <c r="A107" s="33" t="s">
        <v>50</v>
      </c>
      <c r="B107" s="33" t="s">
        <v>46</v>
      </c>
      <c r="C107" s="33" t="s">
        <v>51</v>
      </c>
      <c r="D107" s="37">
        <f>D103-D105</f>
        <v>211635.94981002714</v>
      </c>
      <c r="E107" s="37">
        <f t="shared" ref="E107:I107" si="24">E103-E105</f>
        <v>359772.19650579896</v>
      </c>
      <c r="F107" s="37">
        <f t="shared" si="24"/>
        <v>415721.57626472507</v>
      </c>
      <c r="G107" s="37">
        <f t="shared" si="24"/>
        <v>-100585.80799168535</v>
      </c>
      <c r="H107" s="37">
        <f t="shared" si="24"/>
        <v>-196188.80181540642</v>
      </c>
      <c r="I107" s="37">
        <f t="shared" si="24"/>
        <v>405880.50261361757</v>
      </c>
    </row>
    <row r="108" spans="1:10">
      <c r="D108" s="37"/>
      <c r="E108" s="37"/>
      <c r="F108" s="37"/>
      <c r="G108" s="37"/>
      <c r="H108" s="37"/>
      <c r="I108" s="37"/>
      <c r="J108" s="12"/>
    </row>
    <row r="109" spans="1:10">
      <c r="D109" s="37"/>
      <c r="E109" s="37"/>
      <c r="F109" s="37"/>
      <c r="G109" s="37"/>
      <c r="H109" s="37"/>
      <c r="I109" s="37"/>
      <c r="J109" s="12"/>
    </row>
    <row r="110" spans="1:10">
      <c r="C110" s="33">
        <v>2013</v>
      </c>
      <c r="D110" s="4" t="s">
        <v>23</v>
      </c>
      <c r="E110" s="4" t="s">
        <v>24</v>
      </c>
      <c r="F110" s="4" t="s">
        <v>25</v>
      </c>
      <c r="G110" s="4" t="s">
        <v>26</v>
      </c>
      <c r="H110" s="4" t="s">
        <v>27</v>
      </c>
      <c r="I110" s="4" t="s">
        <v>28</v>
      </c>
      <c r="J110" s="12"/>
    </row>
    <row r="111" spans="1:10">
      <c r="A111" s="33" t="s">
        <v>35</v>
      </c>
      <c r="B111" s="33" t="s">
        <v>164</v>
      </c>
      <c r="D111" s="5">
        <f>'Page 2-4'!E66</f>
        <v>3.2045403820878969E-2</v>
      </c>
      <c r="E111" s="5">
        <f>'Page 2-4'!E67</f>
        <v>2.7825130726521617E-2</v>
      </c>
      <c r="F111" s="5">
        <f>'Page 2-4'!E68</f>
        <v>2.7404137772131423E-2</v>
      </c>
      <c r="G111" s="5">
        <f>'Page 2-4'!E69</f>
        <v>2.8930573975759936E-2</v>
      </c>
      <c r="H111" s="5">
        <f>'Page 2-4'!E70</f>
        <v>2.9828730901491192E-2</v>
      </c>
      <c r="I111" s="5">
        <f>'Page 2-4'!E71</f>
        <v>2.7710877435638669E-2</v>
      </c>
      <c r="J111" s="12"/>
    </row>
    <row r="112" spans="1:10">
      <c r="A112" s="33" t="s">
        <v>36</v>
      </c>
      <c r="B112" s="33" t="s">
        <v>37</v>
      </c>
      <c r="D112" s="6">
        <f>'Page 2-4'!C66</f>
        <v>1067.1433053054157</v>
      </c>
      <c r="E112" s="6">
        <f>'Page 2-4'!C67</f>
        <v>1067.1433053054157</v>
      </c>
      <c r="F112" s="6">
        <f>'Page 2-4'!C68</f>
        <v>1067.1433053054157</v>
      </c>
      <c r="G112" s="6">
        <f>'Page 2-4'!C69</f>
        <v>1067.1433053054157</v>
      </c>
      <c r="H112" s="6">
        <f>'Page 2-4'!C70</f>
        <v>1067.1433053054157</v>
      </c>
      <c r="I112" s="6">
        <f>'Page 2-4'!C71</f>
        <v>1067.1433053054157</v>
      </c>
      <c r="J112" s="12"/>
    </row>
    <row r="113" spans="1:10">
      <c r="A113" s="34" t="s">
        <v>38</v>
      </c>
      <c r="B113" s="34" t="s">
        <v>39</v>
      </c>
      <c r="C113" s="34"/>
      <c r="D113" s="35">
        <v>3102</v>
      </c>
      <c r="E113" s="35">
        <v>3105.3333333333335</v>
      </c>
      <c r="F113" s="35">
        <v>3098</v>
      </c>
      <c r="G113" s="35">
        <v>3114</v>
      </c>
      <c r="H113" s="35">
        <v>3118</v>
      </c>
      <c r="I113" s="35">
        <v>3122</v>
      </c>
      <c r="J113" s="12"/>
    </row>
    <row r="114" spans="1:10">
      <c r="A114" s="34" t="s">
        <v>40</v>
      </c>
      <c r="B114" s="34" t="s">
        <v>41</v>
      </c>
      <c r="C114" s="34"/>
      <c r="D114" s="35">
        <v>126754505.12106417</v>
      </c>
      <c r="E114" s="35">
        <v>115018356.38820057</v>
      </c>
      <c r="F114" s="35">
        <v>131797675.09104834</v>
      </c>
      <c r="G114" s="35">
        <v>118656947.95220238</v>
      </c>
      <c r="H114" s="35">
        <v>132139341.26569818</v>
      </c>
      <c r="I114" s="35">
        <v>125132432.84792039</v>
      </c>
      <c r="J114" s="12"/>
    </row>
    <row r="115" spans="1:10">
      <c r="D115" s="7"/>
      <c r="E115" s="7"/>
      <c r="F115" s="7"/>
      <c r="G115" s="7"/>
      <c r="H115" s="7"/>
      <c r="I115" s="7"/>
      <c r="J115" s="12"/>
    </row>
    <row r="116" spans="1:10">
      <c r="D116" s="7"/>
      <c r="E116" s="7"/>
      <c r="F116" s="7"/>
      <c r="G116" s="7"/>
      <c r="H116" s="7"/>
      <c r="I116" s="7"/>
      <c r="J116" s="12"/>
    </row>
    <row r="117" spans="1:10">
      <c r="A117" s="33" t="s">
        <v>48</v>
      </c>
      <c r="B117" s="33" t="s">
        <v>42</v>
      </c>
      <c r="C117" s="33" t="s">
        <v>43</v>
      </c>
      <c r="D117" s="7">
        <f>D114*D111</f>
        <v>4061899.3027201728</v>
      </c>
      <c r="E117" s="7">
        <f t="shared" ref="E117:I117" si="25">E114*E111</f>
        <v>3200400.8024513335</v>
      </c>
      <c r="F117" s="7">
        <f t="shared" si="25"/>
        <v>3611801.6462417026</v>
      </c>
      <c r="G117" s="7">
        <f t="shared" si="25"/>
        <v>3432813.6104690875</v>
      </c>
      <c r="H117" s="7">
        <f t="shared" si="25"/>
        <v>3941548.8521148213</v>
      </c>
      <c r="I117" s="7">
        <f t="shared" si="25"/>
        <v>3467529.5098720081</v>
      </c>
      <c r="J117" s="12"/>
    </row>
    <row r="118" spans="1:10">
      <c r="J118" s="12"/>
    </row>
    <row r="119" spans="1:10">
      <c r="A119" s="33" t="s">
        <v>49</v>
      </c>
      <c r="B119" s="33" t="s">
        <v>44</v>
      </c>
      <c r="C119" s="33" t="s">
        <v>45</v>
      </c>
      <c r="D119" s="7">
        <f>D112*D113</f>
        <v>3310278.5330573996</v>
      </c>
      <c r="E119" s="7">
        <f t="shared" ref="E119:I119" si="26">E112*E113</f>
        <v>3313835.6774084177</v>
      </c>
      <c r="F119" s="7">
        <f t="shared" si="26"/>
        <v>3306009.9598361775</v>
      </c>
      <c r="G119" s="7">
        <f t="shared" si="26"/>
        <v>3323084.2527210643</v>
      </c>
      <c r="H119" s="7">
        <f t="shared" si="26"/>
        <v>3327352.8259422858</v>
      </c>
      <c r="I119" s="7">
        <f t="shared" si="26"/>
        <v>3331621.3991635079</v>
      </c>
      <c r="J119" s="12"/>
    </row>
    <row r="120" spans="1:10">
      <c r="J120" s="12"/>
    </row>
    <row r="121" spans="1:10">
      <c r="A121" s="33" t="s">
        <v>50</v>
      </c>
      <c r="B121" s="33" t="s">
        <v>46</v>
      </c>
      <c r="C121" s="33" t="s">
        <v>51</v>
      </c>
      <c r="D121" s="37">
        <f>D117-D119</f>
        <v>751620.76966277324</v>
      </c>
      <c r="E121" s="37">
        <f t="shared" ref="E121:I121" si="27">E117-E119</f>
        <v>-113434.87495708419</v>
      </c>
      <c r="F121" s="37">
        <f t="shared" si="27"/>
        <v>305791.68640552508</v>
      </c>
      <c r="G121" s="37">
        <f t="shared" si="27"/>
        <v>109729.35774802323</v>
      </c>
      <c r="H121" s="37">
        <f t="shared" si="27"/>
        <v>614196.02617253549</v>
      </c>
      <c r="I121" s="37">
        <f t="shared" si="27"/>
        <v>135908.11070850026</v>
      </c>
      <c r="J121" s="37">
        <f>SUM(D121:I121)+D107+E107+F107+G107+H107+I107</f>
        <v>2900046.6911273501</v>
      </c>
    </row>
    <row r="122" spans="1:10">
      <c r="D122" s="37"/>
      <c r="E122" s="37"/>
      <c r="F122" s="37"/>
      <c r="G122" s="37"/>
      <c r="H122" s="37"/>
      <c r="I122" s="37"/>
      <c r="J122" s="12"/>
    </row>
    <row r="123" spans="1:10">
      <c r="A123" s="33" t="s">
        <v>103</v>
      </c>
      <c r="B123" s="33" t="s">
        <v>121</v>
      </c>
      <c r="D123" s="37"/>
      <c r="E123" s="37"/>
      <c r="F123" s="37"/>
      <c r="G123" s="37"/>
      <c r="H123" s="37"/>
      <c r="J123" s="37">
        <f>E134-SUM(D107:I107,D121:I121)</f>
        <v>-187247.65013307845</v>
      </c>
    </row>
    <row r="124" spans="1:10">
      <c r="D124" s="37"/>
      <c r="E124" s="37"/>
      <c r="F124" s="37"/>
      <c r="G124" s="37"/>
      <c r="H124" s="37"/>
      <c r="I124" s="37"/>
      <c r="J124" s="12"/>
    </row>
    <row r="125" spans="1:10" ht="15.75" thickBot="1">
      <c r="A125" s="33" t="s">
        <v>107</v>
      </c>
      <c r="B125" s="33" t="s">
        <v>165</v>
      </c>
      <c r="E125" s="5">
        <f>'Page 2-4'!D63</f>
        <v>2.7337633627167034E-2</v>
      </c>
      <c r="F125" s="37"/>
      <c r="G125" s="37"/>
      <c r="H125" s="37"/>
      <c r="I125" s="37"/>
      <c r="J125" s="12"/>
    </row>
    <row r="126" spans="1:10" ht="15.75" thickBot="1">
      <c r="A126" s="33" t="s">
        <v>108</v>
      </c>
      <c r="B126" s="33" t="s">
        <v>104</v>
      </c>
      <c r="E126" s="37">
        <f>'Page 2-4'!D62</f>
        <v>12805.719663664988</v>
      </c>
      <c r="F126" s="37"/>
      <c r="G126" s="37"/>
      <c r="H126" s="37"/>
      <c r="I126" s="38" t="s">
        <v>120</v>
      </c>
      <c r="J126" s="39">
        <f>E134</f>
        <v>2712799.0409942716</v>
      </c>
    </row>
    <row r="127" spans="1:10">
      <c r="A127" s="33" t="s">
        <v>109</v>
      </c>
      <c r="B127" s="33" t="s">
        <v>105</v>
      </c>
      <c r="E127" s="27">
        <f>AVERAGE(D99:I99,D113:I113)</f>
        <v>3096.9722222222226</v>
      </c>
      <c r="F127" s="37"/>
      <c r="G127" s="37"/>
      <c r="H127" s="37"/>
      <c r="I127" s="37"/>
      <c r="J127" s="12"/>
    </row>
    <row r="128" spans="1:10">
      <c r="A128" s="33" t="s">
        <v>110</v>
      </c>
      <c r="B128" s="33" t="s">
        <v>106</v>
      </c>
      <c r="E128" s="27">
        <f>SUM(D100:I100,D114:I114)</f>
        <v>1549942387.2160723</v>
      </c>
      <c r="F128" s="37"/>
      <c r="G128" s="37"/>
      <c r="H128" s="37"/>
      <c r="I128" s="38" t="s">
        <v>54</v>
      </c>
      <c r="J128" s="25">
        <v>0.95579199999999997</v>
      </c>
    </row>
    <row r="129" spans="1:10">
      <c r="D129" s="37"/>
      <c r="E129" s="37"/>
      <c r="F129" s="37"/>
      <c r="G129" s="37"/>
      <c r="H129" s="37"/>
      <c r="I129" s="38" t="s">
        <v>56</v>
      </c>
      <c r="J129" s="13">
        <f>J126/J128</f>
        <v>2838273.432916651</v>
      </c>
    </row>
    <row r="130" spans="1:10">
      <c r="A130" s="33" t="s">
        <v>111</v>
      </c>
      <c r="B130" s="33" t="s">
        <v>114</v>
      </c>
      <c r="D130" s="37" t="s">
        <v>119</v>
      </c>
      <c r="E130" s="37">
        <f>E125*E128</f>
        <v>42371757.124929644</v>
      </c>
      <c r="F130" s="37"/>
      <c r="G130" s="37"/>
      <c r="H130" s="37"/>
      <c r="I130" s="38" t="s">
        <v>55</v>
      </c>
      <c r="J130" s="26">
        <v>47252760</v>
      </c>
    </row>
    <row r="131" spans="1:10">
      <c r="D131" s="37"/>
      <c r="E131" s="37"/>
      <c r="F131" s="37"/>
      <c r="G131" s="37"/>
      <c r="H131" s="37"/>
      <c r="I131" s="37" t="s">
        <v>57</v>
      </c>
      <c r="J131" s="14">
        <f>-J129/J130</f>
        <v>-6.0065770399795715E-2</v>
      </c>
    </row>
    <row r="132" spans="1:10">
      <c r="A132" s="33" t="s">
        <v>112</v>
      </c>
      <c r="B132" s="33" t="s">
        <v>115</v>
      </c>
      <c r="D132" s="37" t="s">
        <v>117</v>
      </c>
      <c r="E132" s="37">
        <f>E126*E127</f>
        <v>39658958.083935373</v>
      </c>
      <c r="F132" s="37"/>
      <c r="G132" s="37"/>
      <c r="H132" s="37"/>
      <c r="I132" s="37"/>
      <c r="J132" s="12"/>
    </row>
    <row r="133" spans="1:10">
      <c r="D133" s="37"/>
      <c r="E133" s="37"/>
      <c r="F133" s="37"/>
      <c r="G133" s="37"/>
      <c r="H133" s="37"/>
      <c r="I133" s="37"/>
      <c r="J133" s="12"/>
    </row>
    <row r="134" spans="1:10">
      <c r="A134" s="33" t="s">
        <v>113</v>
      </c>
      <c r="B134" s="33" t="s">
        <v>116</v>
      </c>
      <c r="D134" s="37" t="s">
        <v>118</v>
      </c>
      <c r="E134" s="37">
        <f>E130-E132</f>
        <v>2712799.0409942716</v>
      </c>
      <c r="F134" s="37"/>
      <c r="G134" s="37"/>
      <c r="H134" s="37"/>
      <c r="I134" s="37"/>
      <c r="J134" s="12"/>
    </row>
    <row r="140" spans="1:10" ht="18.75">
      <c r="A140" s="3" t="s">
        <v>152</v>
      </c>
    </row>
    <row r="142" spans="1:10">
      <c r="C142" s="33">
        <v>2012</v>
      </c>
      <c r="D142" s="15" t="s">
        <v>29</v>
      </c>
      <c r="E142" s="15" t="s">
        <v>30</v>
      </c>
      <c r="F142" s="15" t="s">
        <v>31</v>
      </c>
      <c r="G142" s="15" t="s">
        <v>32</v>
      </c>
      <c r="H142" s="15" t="s">
        <v>33</v>
      </c>
      <c r="I142" s="4" t="s">
        <v>34</v>
      </c>
    </row>
    <row r="143" spans="1:10">
      <c r="A143" s="33" t="s">
        <v>35</v>
      </c>
      <c r="B143" s="33" t="s">
        <v>164</v>
      </c>
      <c r="D143" s="16">
        <f>'Page 2-4'!E97</f>
        <v>1.4770075997373207E-2</v>
      </c>
      <c r="E143" s="16">
        <f>'Page 2-4'!E98</f>
        <v>1.4623238813021943E-2</v>
      </c>
      <c r="F143" s="16">
        <f>'Page 2-4'!E99</f>
        <v>1.5115299125612528E-2</v>
      </c>
      <c r="G143" s="16">
        <f>'Page 2-4'!E100</f>
        <v>1.4327308262037214E-2</v>
      </c>
      <c r="H143" s="16">
        <f>'Page 2-4'!E101</f>
        <v>1.4870284159025408E-2</v>
      </c>
      <c r="I143" s="5">
        <f>'Page 2-4'!E102</f>
        <v>1.4614357155757252E-2</v>
      </c>
    </row>
    <row r="144" spans="1:10">
      <c r="A144" s="33" t="s">
        <v>36</v>
      </c>
      <c r="B144" s="33" t="s">
        <v>37</v>
      </c>
      <c r="D144" s="17">
        <f>'Page 2-4'!C97</f>
        <v>59048.909521593312</v>
      </c>
      <c r="E144" s="17">
        <f>'Page 2-4'!C98</f>
        <v>59048.909521593312</v>
      </c>
      <c r="F144" s="17">
        <f>'Page 2-4'!C99</f>
        <v>59048.909521593312</v>
      </c>
      <c r="G144" s="17">
        <f>'Page 2-4'!C100</f>
        <v>59048.909521593312</v>
      </c>
      <c r="H144" s="17">
        <f>'Page 2-4'!C101</f>
        <v>59048.909521593312</v>
      </c>
      <c r="I144" s="6">
        <f>'Page 2-4'!C102</f>
        <v>59048.909521593312</v>
      </c>
    </row>
    <row r="145" spans="1:10">
      <c r="A145" s="34" t="s">
        <v>38</v>
      </c>
      <c r="B145" s="34" t="s">
        <v>39</v>
      </c>
      <c r="C145" s="34"/>
      <c r="D145" s="35">
        <v>24</v>
      </c>
      <c r="E145" s="35">
        <v>24</v>
      </c>
      <c r="F145" s="35">
        <v>24</v>
      </c>
      <c r="G145" s="35">
        <v>24</v>
      </c>
      <c r="H145" s="35">
        <v>24</v>
      </c>
      <c r="I145" s="35">
        <v>24</v>
      </c>
      <c r="J145" s="34"/>
    </row>
    <row r="146" spans="1:10">
      <c r="A146" s="34" t="s">
        <v>40</v>
      </c>
      <c r="B146" s="34" t="s">
        <v>41</v>
      </c>
      <c r="C146" s="34"/>
      <c r="D146" s="35">
        <v>92281587.582842737</v>
      </c>
      <c r="E146" s="35">
        <v>95374558.709426746</v>
      </c>
      <c r="F146" s="35">
        <v>93777383.453515008</v>
      </c>
      <c r="G146" s="35">
        <v>94969176.318394989</v>
      </c>
      <c r="H146" s="35">
        <v>93569542.101915002</v>
      </c>
      <c r="I146" s="35">
        <v>97139892.259078741</v>
      </c>
      <c r="J146" s="34"/>
    </row>
    <row r="147" spans="1:10">
      <c r="D147" s="7"/>
      <c r="E147" s="7"/>
      <c r="F147" s="7"/>
      <c r="G147" s="7"/>
      <c r="H147" s="35"/>
      <c r="I147" s="35"/>
    </row>
    <row r="148" spans="1:10">
      <c r="D148" s="7"/>
      <c r="E148" s="7"/>
      <c r="F148" s="7"/>
      <c r="G148" s="7"/>
      <c r="H148" s="7"/>
      <c r="I148" s="7"/>
    </row>
    <row r="149" spans="1:10">
      <c r="A149" s="33" t="s">
        <v>48</v>
      </c>
      <c r="B149" s="33" t="s">
        <v>42</v>
      </c>
      <c r="C149" s="33" t="s">
        <v>43</v>
      </c>
      <c r="D149" s="7">
        <f t="shared" ref="D149:I149" si="28">D146*D143</f>
        <v>1363006.0617568388</v>
      </c>
      <c r="E149" s="7">
        <f t="shared" si="28"/>
        <v>1394684.9486945292</v>
      </c>
      <c r="F149" s="7">
        <f t="shared" si="28"/>
        <v>1417473.2021171462</v>
      </c>
      <c r="G149" s="7">
        <f t="shared" si="28"/>
        <v>1360652.6645054093</v>
      </c>
      <c r="H149" s="7">
        <f t="shared" si="28"/>
        <v>1391405.6796853677</v>
      </c>
      <c r="I149" s="7">
        <f t="shared" si="28"/>
        <v>1419637.0795459559</v>
      </c>
    </row>
    <row r="151" spans="1:10">
      <c r="A151" s="33" t="s">
        <v>49</v>
      </c>
      <c r="B151" s="33" t="s">
        <v>44</v>
      </c>
      <c r="C151" s="33" t="s">
        <v>45</v>
      </c>
      <c r="D151" s="7">
        <f t="shared" ref="D151:I151" si="29">D144*D145</f>
        <v>1417173.8285182395</v>
      </c>
      <c r="E151" s="7">
        <f t="shared" si="29"/>
        <v>1417173.8285182395</v>
      </c>
      <c r="F151" s="7">
        <f t="shared" si="29"/>
        <v>1417173.8285182395</v>
      </c>
      <c r="G151" s="7">
        <f t="shared" si="29"/>
        <v>1417173.8285182395</v>
      </c>
      <c r="H151" s="7">
        <f t="shared" si="29"/>
        <v>1417173.8285182395</v>
      </c>
      <c r="I151" s="7">
        <f t="shared" si="29"/>
        <v>1417173.8285182395</v>
      </c>
    </row>
    <row r="153" spans="1:10">
      <c r="A153" s="33" t="s">
        <v>50</v>
      </c>
      <c r="B153" s="33" t="s">
        <v>46</v>
      </c>
      <c r="C153" s="33" t="s">
        <v>51</v>
      </c>
      <c r="D153" s="37">
        <f>D149-D151</f>
        <v>-54167.766761400737</v>
      </c>
      <c r="E153" s="37">
        <f t="shared" ref="E153:I153" si="30">E149-E151</f>
        <v>-22488.879823710304</v>
      </c>
      <c r="F153" s="37">
        <f t="shared" si="30"/>
        <v>299.37359890667722</v>
      </c>
      <c r="G153" s="37">
        <f t="shared" si="30"/>
        <v>-56521.164012830239</v>
      </c>
      <c r="H153" s="37">
        <f t="shared" si="30"/>
        <v>-25768.148832871811</v>
      </c>
      <c r="I153" s="37">
        <f t="shared" si="30"/>
        <v>2463.2510277163237</v>
      </c>
    </row>
    <row r="154" spans="1:10">
      <c r="D154" s="37"/>
      <c r="E154" s="37"/>
      <c r="F154" s="37"/>
      <c r="G154" s="37"/>
      <c r="H154" s="37"/>
      <c r="I154" s="37"/>
      <c r="J154" s="12"/>
    </row>
    <row r="155" spans="1:10">
      <c r="D155" s="37"/>
      <c r="E155" s="37"/>
      <c r="F155" s="37"/>
      <c r="G155" s="37"/>
      <c r="H155" s="37"/>
      <c r="I155" s="37"/>
      <c r="J155" s="12"/>
    </row>
    <row r="156" spans="1:10">
      <c r="C156" s="33">
        <v>2013</v>
      </c>
      <c r="D156" s="4" t="s">
        <v>23</v>
      </c>
      <c r="E156" s="4" t="s">
        <v>24</v>
      </c>
      <c r="F156" s="4" t="s">
        <v>25</v>
      </c>
      <c r="G156" s="4" t="s">
        <v>26</v>
      </c>
      <c r="H156" s="4" t="s">
        <v>27</v>
      </c>
      <c r="I156" s="4" t="s">
        <v>28</v>
      </c>
      <c r="J156" s="12"/>
    </row>
    <row r="157" spans="1:10">
      <c r="A157" s="33" t="s">
        <v>35</v>
      </c>
      <c r="B157" s="33" t="s">
        <v>164</v>
      </c>
      <c r="D157" s="5">
        <f>'Page 2-4'!E91</f>
        <v>1.5856459486559959E-2</v>
      </c>
      <c r="E157" s="5">
        <f>'Page 2-4'!E92</f>
        <v>1.6423207922929537E-2</v>
      </c>
      <c r="F157" s="5">
        <f>'Page 2-4'!E93</f>
        <v>1.5332867576733243E-2</v>
      </c>
      <c r="G157" s="5">
        <f>'Page 2-4'!E94</f>
        <v>1.5606770191706037E-2</v>
      </c>
      <c r="H157" s="5">
        <f>'Page 2-4'!E95</f>
        <v>1.4520642825505853E-2</v>
      </c>
      <c r="I157" s="5">
        <f>'Page 2-4'!E96</f>
        <v>1.5320095785624009E-2</v>
      </c>
      <c r="J157" s="12"/>
    </row>
    <row r="158" spans="1:10">
      <c r="A158" s="33" t="s">
        <v>36</v>
      </c>
      <c r="B158" s="33" t="s">
        <v>37</v>
      </c>
      <c r="D158" s="6">
        <f>'Page 2-4'!C91</f>
        <v>59048.909521593312</v>
      </c>
      <c r="E158" s="6">
        <f>'Page 2-4'!C92</f>
        <v>59048.909521593312</v>
      </c>
      <c r="F158" s="6">
        <f>'Page 2-4'!C93</f>
        <v>59048.909521593312</v>
      </c>
      <c r="G158" s="6">
        <f>'Page 2-4'!C94</f>
        <v>59048.909521593312</v>
      </c>
      <c r="H158" s="6">
        <f>'Page 2-4'!C95</f>
        <v>59048.909521593312</v>
      </c>
      <c r="I158" s="6">
        <f>'Page 2-4'!C96</f>
        <v>59048.909521593312</v>
      </c>
      <c r="J158" s="12"/>
    </row>
    <row r="159" spans="1:10">
      <c r="A159" s="34" t="s">
        <v>38</v>
      </c>
      <c r="B159" s="34" t="s">
        <v>39</v>
      </c>
      <c r="C159" s="34"/>
      <c r="D159" s="35">
        <v>24</v>
      </c>
      <c r="E159" s="35">
        <v>24</v>
      </c>
      <c r="F159" s="35">
        <v>24</v>
      </c>
      <c r="G159" s="35">
        <v>24</v>
      </c>
      <c r="H159" s="35">
        <v>24</v>
      </c>
      <c r="I159" s="35">
        <v>24</v>
      </c>
      <c r="J159" s="12"/>
    </row>
    <row r="160" spans="1:10">
      <c r="A160" s="34" t="s">
        <v>40</v>
      </c>
      <c r="B160" s="34" t="s">
        <v>41</v>
      </c>
      <c r="C160" s="34"/>
      <c r="D160" s="35">
        <v>94893298.768058747</v>
      </c>
      <c r="E160" s="35">
        <v>94298513.653671235</v>
      </c>
      <c r="F160" s="35">
        <v>97893104.835971251</v>
      </c>
      <c r="G160" s="35">
        <v>94530309.090093747</v>
      </c>
      <c r="H160" s="35">
        <v>96999913.433364958</v>
      </c>
      <c r="I160" s="35">
        <v>97929067.43791388</v>
      </c>
      <c r="J160" s="12"/>
    </row>
    <row r="161" spans="1:10">
      <c r="D161" s="7"/>
      <c r="E161" s="7"/>
      <c r="F161" s="7"/>
      <c r="G161" s="7"/>
      <c r="H161" s="7"/>
      <c r="I161" s="7"/>
      <c r="J161" s="12"/>
    </row>
    <row r="162" spans="1:10">
      <c r="D162" s="7"/>
      <c r="E162" s="7"/>
      <c r="F162" s="7"/>
      <c r="G162" s="7"/>
      <c r="H162" s="7"/>
      <c r="I162" s="7"/>
      <c r="J162" s="12"/>
    </row>
    <row r="163" spans="1:10">
      <c r="A163" s="33" t="s">
        <v>48</v>
      </c>
      <c r="B163" s="33" t="s">
        <v>42</v>
      </c>
      <c r="C163" s="33" t="s">
        <v>43</v>
      </c>
      <c r="D163" s="7">
        <f>D160*D157</f>
        <v>1504671.7474617537</v>
      </c>
      <c r="E163" s="7">
        <f t="shared" ref="E163:I163" si="31">E160*E157</f>
        <v>1548684.0965574526</v>
      </c>
      <c r="F163" s="7">
        <f t="shared" si="31"/>
        <v>1500982.0131252117</v>
      </c>
      <c r="G163" s="7">
        <f t="shared" si="31"/>
        <v>1475312.8101200333</v>
      </c>
      <c r="H163" s="7">
        <f t="shared" si="31"/>
        <v>1408501.0970708798</v>
      </c>
      <c r="I163" s="7">
        <f t="shared" si="31"/>
        <v>1500282.6933456738</v>
      </c>
      <c r="J163" s="12"/>
    </row>
    <row r="164" spans="1:10">
      <c r="J164" s="12"/>
    </row>
    <row r="165" spans="1:10">
      <c r="A165" s="33" t="s">
        <v>49</v>
      </c>
      <c r="B165" s="33" t="s">
        <v>44</v>
      </c>
      <c r="C165" s="33" t="s">
        <v>45</v>
      </c>
      <c r="D165" s="7">
        <f>D158*D159</f>
        <v>1417173.8285182395</v>
      </c>
      <c r="E165" s="7">
        <f t="shared" ref="E165:I165" si="32">E158*E159</f>
        <v>1417173.8285182395</v>
      </c>
      <c r="F165" s="7">
        <f t="shared" si="32"/>
        <v>1417173.8285182395</v>
      </c>
      <c r="G165" s="7">
        <f t="shared" si="32"/>
        <v>1417173.8285182395</v>
      </c>
      <c r="H165" s="7">
        <f t="shared" si="32"/>
        <v>1417173.8285182395</v>
      </c>
      <c r="I165" s="7">
        <f t="shared" si="32"/>
        <v>1417173.8285182395</v>
      </c>
      <c r="J165" s="12"/>
    </row>
    <row r="166" spans="1:10">
      <c r="J166" s="12"/>
    </row>
    <row r="167" spans="1:10">
      <c r="A167" s="33" t="s">
        <v>50</v>
      </c>
      <c r="B167" s="33" t="s">
        <v>46</v>
      </c>
      <c r="C167" s="33" t="s">
        <v>51</v>
      </c>
      <c r="D167" s="37">
        <f>D163-D165</f>
        <v>87497.918943514116</v>
      </c>
      <c r="E167" s="37">
        <f t="shared" ref="E167:I167" si="33">E163-E165</f>
        <v>131510.26803921303</v>
      </c>
      <c r="F167" s="37">
        <f t="shared" si="33"/>
        <v>83808.184606972151</v>
      </c>
      <c r="G167" s="37">
        <f t="shared" si="33"/>
        <v>58138.981601793785</v>
      </c>
      <c r="H167" s="37">
        <f t="shared" si="33"/>
        <v>-8672.7314473597798</v>
      </c>
      <c r="I167" s="37">
        <f t="shared" si="33"/>
        <v>83108.8648274343</v>
      </c>
      <c r="J167" s="37">
        <f>SUM(D167:I167)+D153+E153+F153+G153+H153+I153</f>
        <v>279208.15176737751</v>
      </c>
    </row>
    <row r="168" spans="1:10">
      <c r="D168" s="37"/>
      <c r="E168" s="37"/>
      <c r="F168" s="37"/>
      <c r="G168" s="37"/>
      <c r="H168" s="37"/>
      <c r="I168" s="37"/>
      <c r="J168" s="12"/>
    </row>
    <row r="169" spans="1:10">
      <c r="A169" s="33" t="s">
        <v>103</v>
      </c>
      <c r="B169" s="33" t="s">
        <v>121</v>
      </c>
      <c r="D169" s="37"/>
      <c r="E169" s="37"/>
      <c r="F169" s="37"/>
      <c r="G169" s="37"/>
      <c r="H169" s="37"/>
      <c r="J169" s="37">
        <f>E180-SUM(D153:I153,D167:I167)</f>
        <v>-24908.60182629223</v>
      </c>
    </row>
    <row r="170" spans="1:10">
      <c r="D170" s="37"/>
      <c r="E170" s="37"/>
      <c r="F170" s="37"/>
      <c r="G170" s="37"/>
      <c r="H170" s="37"/>
      <c r="I170" s="37"/>
      <c r="J170" s="12"/>
    </row>
    <row r="171" spans="1:10" ht="15.75" thickBot="1">
      <c r="A171" s="33" t="s">
        <v>107</v>
      </c>
      <c r="B171" s="33" t="s">
        <v>165</v>
      </c>
      <c r="E171" s="5">
        <f>'Page 2-4'!D88</f>
        <v>1.5092283208774778E-2</v>
      </c>
      <c r="F171" s="37"/>
      <c r="G171" s="37"/>
      <c r="H171" s="37"/>
      <c r="I171" s="37"/>
      <c r="J171" s="12"/>
    </row>
    <row r="172" spans="1:10" ht="15.75" thickBot="1">
      <c r="A172" s="33" t="s">
        <v>108</v>
      </c>
      <c r="B172" s="33" t="s">
        <v>104</v>
      </c>
      <c r="E172" s="37">
        <f>'Page 2-4'!D87</f>
        <v>708586.91425911977</v>
      </c>
      <c r="F172" s="37"/>
      <c r="G172" s="37"/>
      <c r="H172" s="37"/>
      <c r="I172" s="38" t="s">
        <v>120</v>
      </c>
      <c r="J172" s="39">
        <f>E180</f>
        <v>254299.54994108528</v>
      </c>
    </row>
    <row r="173" spans="1:10">
      <c r="A173" s="33" t="s">
        <v>109</v>
      </c>
      <c r="B173" s="33" t="s">
        <v>105</v>
      </c>
      <c r="E173" s="27">
        <f>AVERAGE(D145:I145,D159:I159)</f>
        <v>24</v>
      </c>
      <c r="F173" s="37"/>
      <c r="G173" s="37"/>
      <c r="H173" s="37"/>
      <c r="I173" s="37"/>
      <c r="J173" s="12"/>
    </row>
    <row r="174" spans="1:10">
      <c r="A174" s="33" t="s">
        <v>110</v>
      </c>
      <c r="B174" s="33" t="s">
        <v>106</v>
      </c>
      <c r="E174" s="27">
        <f>SUM(D146:I146,D160:I160)</f>
        <v>1143656347.6442471</v>
      </c>
      <c r="F174" s="37"/>
      <c r="G174" s="37"/>
      <c r="H174" s="37"/>
      <c r="I174" s="38" t="s">
        <v>54</v>
      </c>
      <c r="J174" s="25">
        <v>0.95579199999999997</v>
      </c>
    </row>
    <row r="175" spans="1:10">
      <c r="D175" s="37"/>
      <c r="E175" s="37"/>
      <c r="F175" s="37"/>
      <c r="G175" s="37"/>
      <c r="H175" s="37"/>
      <c r="I175" s="38" t="s">
        <v>56</v>
      </c>
      <c r="J175" s="13">
        <f>J172/J174</f>
        <v>266061.60120725562</v>
      </c>
    </row>
    <row r="176" spans="1:10">
      <c r="A176" s="33" t="s">
        <v>111</v>
      </c>
      <c r="B176" s="33" t="s">
        <v>114</v>
      </c>
      <c r="D176" s="37" t="s">
        <v>119</v>
      </c>
      <c r="E176" s="37">
        <f>E171*E174</f>
        <v>17260385.492159959</v>
      </c>
      <c r="F176" s="37"/>
      <c r="G176" s="37"/>
      <c r="H176" s="37"/>
      <c r="I176" s="38" t="s">
        <v>55</v>
      </c>
      <c r="J176" s="26">
        <v>47252760</v>
      </c>
    </row>
    <row r="177" spans="1:10">
      <c r="D177" s="37"/>
      <c r="E177" s="37"/>
      <c r="F177" s="37"/>
      <c r="G177" s="37"/>
      <c r="H177" s="37"/>
      <c r="I177" s="37" t="s">
        <v>57</v>
      </c>
      <c r="J177" s="14">
        <f>-J175/J176</f>
        <v>-5.6306044600835086E-3</v>
      </c>
    </row>
    <row r="178" spans="1:10">
      <c r="A178" s="33" t="s">
        <v>112</v>
      </c>
      <c r="B178" s="33" t="s">
        <v>115</v>
      </c>
      <c r="D178" s="37" t="s">
        <v>117</v>
      </c>
      <c r="E178" s="37">
        <f>E172*E173</f>
        <v>17006085.942218874</v>
      </c>
      <c r="F178" s="37"/>
      <c r="G178" s="37"/>
      <c r="H178" s="37"/>
      <c r="I178" s="37"/>
      <c r="J178" s="12"/>
    </row>
    <row r="179" spans="1:10">
      <c r="D179" s="37"/>
      <c r="E179" s="37"/>
      <c r="F179" s="37"/>
      <c r="G179" s="37"/>
      <c r="H179" s="37"/>
      <c r="I179" s="37"/>
      <c r="J179" s="12"/>
    </row>
    <row r="180" spans="1:10">
      <c r="A180" s="33" t="s">
        <v>113</v>
      </c>
      <c r="B180" s="33" t="s">
        <v>116</v>
      </c>
      <c r="D180" s="37" t="s">
        <v>118</v>
      </c>
      <c r="E180" s="37">
        <f>E176-E178</f>
        <v>254299.54994108528</v>
      </c>
      <c r="F180" s="37"/>
      <c r="G180" s="37"/>
      <c r="H180" s="37"/>
      <c r="I180" s="37"/>
      <c r="J180" s="12"/>
    </row>
    <row r="185" spans="1:10" ht="18.75">
      <c r="A185" s="3" t="s">
        <v>151</v>
      </c>
    </row>
    <row r="187" spans="1:10">
      <c r="C187" s="33">
        <v>2012</v>
      </c>
      <c r="D187" s="15" t="s">
        <v>29</v>
      </c>
      <c r="E187" s="15" t="s">
        <v>30</v>
      </c>
      <c r="F187" s="15" t="s">
        <v>31</v>
      </c>
      <c r="G187" s="15" t="s">
        <v>32</v>
      </c>
      <c r="H187" s="15" t="s">
        <v>33</v>
      </c>
      <c r="I187" s="4" t="s">
        <v>34</v>
      </c>
    </row>
    <row r="188" spans="1:10">
      <c r="A188" s="33" t="s">
        <v>35</v>
      </c>
      <c r="B188" s="33" t="s">
        <v>164</v>
      </c>
      <c r="D188" s="16">
        <f>'Page 2-4'!E123</f>
        <v>1.8928590198525733E-2</v>
      </c>
      <c r="E188" s="16">
        <f>'Page 2-4'!E124</f>
        <v>1.4183708894931929E-2</v>
      </c>
      <c r="F188" s="16">
        <f>'Page 2-4'!E125</f>
        <v>1.8580576791569832E-2</v>
      </c>
      <c r="G188" s="16">
        <f>'Page 2-4'!E126</f>
        <v>5.6113941141315932E-2</v>
      </c>
      <c r="H188" s="16">
        <f>'Page 2-4'!E127</f>
        <v>0.16031630519583367</v>
      </c>
      <c r="I188" s="5">
        <f>'Page 2-4'!E128</f>
        <v>0.1674848837675012</v>
      </c>
    </row>
    <row r="189" spans="1:10">
      <c r="A189" s="33" t="s">
        <v>36</v>
      </c>
      <c r="B189" s="33" t="s">
        <v>37</v>
      </c>
      <c r="D189" s="17">
        <f>'Page 2-4'!C123</f>
        <v>162.44372950969924</v>
      </c>
      <c r="E189" s="17">
        <f>'Page 2-4'!C124</f>
        <v>162.44372950969924</v>
      </c>
      <c r="F189" s="17">
        <f>'Page 2-4'!C125</f>
        <v>162.44372950969924</v>
      </c>
      <c r="G189" s="17">
        <f>'Page 2-4'!C126</f>
        <v>162.44372950969924</v>
      </c>
      <c r="H189" s="17">
        <f>'Page 2-4'!C127</f>
        <v>162.44372950969924</v>
      </c>
      <c r="I189" s="6">
        <f>'Page 2-4'!C128</f>
        <v>162.44372950969924</v>
      </c>
    </row>
    <row r="190" spans="1:10">
      <c r="A190" s="34" t="s">
        <v>38</v>
      </c>
      <c r="B190" s="34" t="s">
        <v>39</v>
      </c>
      <c r="C190" s="34"/>
      <c r="D190" s="35">
        <v>2433</v>
      </c>
      <c r="E190" s="35">
        <v>2436</v>
      </c>
      <c r="F190" s="35">
        <v>2452</v>
      </c>
      <c r="G190" s="35">
        <v>2453</v>
      </c>
      <c r="H190" s="35">
        <v>2438</v>
      </c>
      <c r="I190" s="35">
        <v>2442</v>
      </c>
      <c r="J190" s="34"/>
    </row>
    <row r="191" spans="1:10">
      <c r="A191" s="34" t="s">
        <v>40</v>
      </c>
      <c r="B191" s="34" t="s">
        <v>41</v>
      </c>
      <c r="C191" s="34"/>
      <c r="D191" s="35">
        <v>23753344.844932415</v>
      </c>
      <c r="E191" s="35">
        <v>24785990.714598753</v>
      </c>
      <c r="F191" s="35">
        <v>16147216.92355332</v>
      </c>
      <c r="G191" s="35">
        <v>7912834.88072016</v>
      </c>
      <c r="H191" s="35">
        <v>4657768.1461295597</v>
      </c>
      <c r="I191" s="35">
        <v>4554439.320323824</v>
      </c>
      <c r="J191" s="34"/>
    </row>
    <row r="192" spans="1:10">
      <c r="D192" s="7"/>
      <c r="E192" s="7"/>
      <c r="F192" s="7"/>
      <c r="G192" s="7"/>
      <c r="H192" s="35"/>
      <c r="I192" s="35"/>
    </row>
    <row r="193" spans="1:10">
      <c r="D193" s="7"/>
      <c r="E193" s="7"/>
      <c r="F193" s="7"/>
      <c r="G193" s="7"/>
      <c r="H193" s="7"/>
      <c r="I193" s="7"/>
    </row>
    <row r="194" spans="1:10">
      <c r="A194" s="33" t="s">
        <v>48</v>
      </c>
      <c r="B194" s="33" t="s">
        <v>42</v>
      </c>
      <c r="C194" s="33" t="s">
        <v>43</v>
      </c>
      <c r="D194" s="7">
        <f t="shared" ref="D194:I194" si="34">D191*D188</f>
        <v>449617.33041398943</v>
      </c>
      <c r="E194" s="7">
        <f t="shared" si="34"/>
        <v>351557.27696835453</v>
      </c>
      <c r="F194" s="7">
        <f t="shared" si="34"/>
        <v>300024.60401821841</v>
      </c>
      <c r="G194" s="7">
        <f t="shared" si="34"/>
        <v>444020.35075768275</v>
      </c>
      <c r="H194" s="7">
        <f t="shared" si="34"/>
        <v>746716.17964633892</v>
      </c>
      <c r="I194" s="7">
        <f t="shared" si="34"/>
        <v>762799.7401905728</v>
      </c>
    </row>
    <row r="196" spans="1:10">
      <c r="A196" s="33" t="s">
        <v>49</v>
      </c>
      <c r="B196" s="33" t="s">
        <v>44</v>
      </c>
      <c r="C196" s="33" t="s">
        <v>45</v>
      </c>
      <c r="D196" s="7">
        <f t="shared" ref="D196:I196" si="35">D189*D190</f>
        <v>395225.59389709827</v>
      </c>
      <c r="E196" s="7">
        <f t="shared" si="35"/>
        <v>395712.92508562736</v>
      </c>
      <c r="F196" s="7">
        <f t="shared" si="35"/>
        <v>398312.02475778252</v>
      </c>
      <c r="G196" s="7">
        <f t="shared" si="35"/>
        <v>398474.46848729224</v>
      </c>
      <c r="H196" s="7">
        <f t="shared" si="35"/>
        <v>396037.81254464673</v>
      </c>
      <c r="I196" s="7">
        <f t="shared" si="35"/>
        <v>396687.58746268554</v>
      </c>
    </row>
    <row r="198" spans="1:10">
      <c r="A198" s="33" t="s">
        <v>50</v>
      </c>
      <c r="B198" s="33" t="s">
        <v>46</v>
      </c>
      <c r="C198" s="33" t="s">
        <v>51</v>
      </c>
      <c r="D198" s="37">
        <f>D194-D196</f>
        <v>54391.736516891164</v>
      </c>
      <c r="E198" s="37">
        <f t="shared" ref="E198:I198" si="36">E194-E196</f>
        <v>-44155.648117272824</v>
      </c>
      <c r="F198" s="37">
        <f t="shared" si="36"/>
        <v>-98287.420739564113</v>
      </c>
      <c r="G198" s="37">
        <f t="shared" si="36"/>
        <v>45545.882270390517</v>
      </c>
      <c r="H198" s="37">
        <f t="shared" si="36"/>
        <v>350678.36710169219</v>
      </c>
      <c r="I198" s="37">
        <f t="shared" si="36"/>
        <v>366112.15272788727</v>
      </c>
    </row>
    <row r="199" spans="1:10">
      <c r="D199" s="37"/>
      <c r="E199" s="37"/>
      <c r="F199" s="37"/>
      <c r="G199" s="37"/>
      <c r="H199" s="37"/>
      <c r="I199" s="37"/>
      <c r="J199" s="12"/>
    </row>
    <row r="200" spans="1:10">
      <c r="D200" s="37"/>
      <c r="E200" s="37"/>
      <c r="F200" s="37"/>
      <c r="G200" s="37"/>
      <c r="H200" s="37"/>
      <c r="I200" s="37"/>
      <c r="J200" s="12"/>
    </row>
    <row r="201" spans="1:10">
      <c r="C201" s="33">
        <v>2013</v>
      </c>
      <c r="D201" s="4" t="s">
        <v>23</v>
      </c>
      <c r="E201" s="4" t="s">
        <v>24</v>
      </c>
      <c r="F201" s="4" t="s">
        <v>25</v>
      </c>
      <c r="G201" s="4" t="s">
        <v>26</v>
      </c>
      <c r="H201" s="4" t="s">
        <v>27</v>
      </c>
      <c r="I201" s="4" t="s">
        <v>28</v>
      </c>
      <c r="J201" s="12"/>
    </row>
    <row r="202" spans="1:10">
      <c r="A202" s="33" t="s">
        <v>35</v>
      </c>
      <c r="B202" s="33" t="s">
        <v>164</v>
      </c>
      <c r="D202" s="5">
        <f>'Page 2-4'!E117</f>
        <v>0.10303379432769624</v>
      </c>
      <c r="E202" s="5">
        <f>'Page 2-4'!E118</f>
        <v>0.11143822144185266</v>
      </c>
      <c r="F202" s="5">
        <f>'Page 2-4'!E119</f>
        <v>0.10759958705103786</v>
      </c>
      <c r="G202" s="5">
        <f>'Page 2-4'!E120</f>
        <v>8.9747208512000257E-2</v>
      </c>
      <c r="H202" s="5">
        <f>'Page 2-4'!E121</f>
        <v>3.4117522143088212E-2</v>
      </c>
      <c r="I202" s="5">
        <f>'Page 2-4'!E122</f>
        <v>2.607525969016003E-2</v>
      </c>
      <c r="J202" s="12"/>
    </row>
    <row r="203" spans="1:10">
      <c r="A203" s="33" t="s">
        <v>36</v>
      </c>
      <c r="B203" s="33" t="s">
        <v>37</v>
      </c>
      <c r="D203" s="6">
        <f>'Page 2-4'!C117</f>
        <v>162.44372950969924</v>
      </c>
      <c r="E203" s="6">
        <f>'Page 2-4'!C118</f>
        <v>162.44372950969924</v>
      </c>
      <c r="F203" s="6">
        <f>'Page 2-4'!C119</f>
        <v>162.44372950969924</v>
      </c>
      <c r="G203" s="6">
        <f>'Page 2-4'!C120</f>
        <v>162.44372950969924</v>
      </c>
      <c r="H203" s="6">
        <f>'Page 2-4'!C121</f>
        <v>162.44372950969924</v>
      </c>
      <c r="I203" s="6">
        <f>'Page 2-4'!C122</f>
        <v>162.44372950969924</v>
      </c>
      <c r="J203" s="12"/>
    </row>
    <row r="204" spans="1:10">
      <c r="A204" s="34" t="s">
        <v>38</v>
      </c>
      <c r="B204" s="34" t="s">
        <v>39</v>
      </c>
      <c r="C204" s="34"/>
      <c r="D204" s="35">
        <v>2453</v>
      </c>
      <c r="E204" s="35">
        <v>2453</v>
      </c>
      <c r="F204" s="35">
        <v>2449</v>
      </c>
      <c r="G204" s="35">
        <v>2442</v>
      </c>
      <c r="H204" s="35">
        <v>2462</v>
      </c>
      <c r="I204" s="35">
        <v>2471</v>
      </c>
      <c r="J204" s="12"/>
    </row>
    <row r="205" spans="1:10">
      <c r="A205" s="34" t="s">
        <v>40</v>
      </c>
      <c r="B205" s="34" t="s">
        <v>41</v>
      </c>
      <c r="C205" s="34"/>
      <c r="D205" s="35">
        <v>4712137.3747786079</v>
      </c>
      <c r="E205" s="35">
        <v>3934400.973528293</v>
      </c>
      <c r="F205" s="35">
        <v>5490340.9330985164</v>
      </c>
      <c r="G205" s="35">
        <v>8515988.7935228739</v>
      </c>
      <c r="H205" s="35">
        <v>16481273.309982367</v>
      </c>
      <c r="I205" s="35">
        <v>20404119.127959557</v>
      </c>
      <c r="J205" s="12"/>
    </row>
    <row r="206" spans="1:10">
      <c r="D206" s="7"/>
      <c r="E206" s="7"/>
      <c r="F206" s="7"/>
      <c r="G206" s="7"/>
      <c r="H206" s="7"/>
      <c r="I206" s="7"/>
      <c r="J206" s="12"/>
    </row>
    <row r="207" spans="1:10">
      <c r="D207" s="7"/>
      <c r="E207" s="7"/>
      <c r="F207" s="7"/>
      <c r="G207" s="7"/>
      <c r="H207" s="7"/>
      <c r="I207" s="7"/>
      <c r="J207" s="12"/>
    </row>
    <row r="208" spans="1:10">
      <c r="A208" s="33" t="s">
        <v>48</v>
      </c>
      <c r="B208" s="33" t="s">
        <v>42</v>
      </c>
      <c r="C208" s="33" t="s">
        <v>43</v>
      </c>
      <c r="D208" s="7">
        <f>D205*D202</f>
        <v>485509.39311678958</v>
      </c>
      <c r="E208" s="7">
        <f t="shared" ref="E208:I208" si="37">E205*E202</f>
        <v>438442.64692908659</v>
      </c>
      <c r="F208" s="7">
        <f t="shared" si="37"/>
        <v>590758.41717081028</v>
      </c>
      <c r="G208" s="7">
        <f t="shared" si="37"/>
        <v>764286.22193815489</v>
      </c>
      <c r="H208" s="7">
        <f t="shared" si="37"/>
        <v>562300.2070996121</v>
      </c>
      <c r="I208" s="7">
        <f t="shared" si="37"/>
        <v>532042.70501050702</v>
      </c>
      <c r="J208" s="12"/>
    </row>
    <row r="209" spans="1:10">
      <c r="J209" s="12"/>
    </row>
    <row r="210" spans="1:10">
      <c r="A210" s="33" t="s">
        <v>49</v>
      </c>
      <c r="B210" s="33" t="s">
        <v>44</v>
      </c>
      <c r="C210" s="33" t="s">
        <v>45</v>
      </c>
      <c r="D210" s="7">
        <f>D203*D204</f>
        <v>398474.46848729224</v>
      </c>
      <c r="E210" s="7">
        <f t="shared" ref="E210:I210" si="38">E203*E204</f>
        <v>398474.46848729224</v>
      </c>
      <c r="F210" s="7">
        <f t="shared" si="38"/>
        <v>397824.69356925343</v>
      </c>
      <c r="G210" s="7">
        <f t="shared" si="38"/>
        <v>396687.58746268554</v>
      </c>
      <c r="H210" s="7">
        <f t="shared" si="38"/>
        <v>399936.46205287951</v>
      </c>
      <c r="I210" s="7">
        <f t="shared" si="38"/>
        <v>401398.45561846683</v>
      </c>
      <c r="J210" s="12"/>
    </row>
    <row r="211" spans="1:10">
      <c r="J211" s="12"/>
    </row>
    <row r="212" spans="1:10">
      <c r="A212" s="33" t="s">
        <v>50</v>
      </c>
      <c r="B212" s="33" t="s">
        <v>46</v>
      </c>
      <c r="C212" s="33" t="s">
        <v>51</v>
      </c>
      <c r="D212" s="37">
        <f>D208-D210</f>
        <v>87034.924629497342</v>
      </c>
      <c r="E212" s="37">
        <f t="shared" ref="E212:I212" si="39">E208-E210</f>
        <v>39968.178441794356</v>
      </c>
      <c r="F212" s="37">
        <f t="shared" si="39"/>
        <v>192933.72360155685</v>
      </c>
      <c r="G212" s="37">
        <f t="shared" si="39"/>
        <v>367598.63447546936</v>
      </c>
      <c r="H212" s="37">
        <f t="shared" si="39"/>
        <v>162363.7450467326</v>
      </c>
      <c r="I212" s="37">
        <f t="shared" si="39"/>
        <v>130644.24939204019</v>
      </c>
      <c r="J212" s="37">
        <f>SUM(D212:I212)+D198+E198+F198+G198+H198+I198</f>
        <v>1654828.525347115</v>
      </c>
    </row>
    <row r="213" spans="1:10">
      <c r="D213" s="37"/>
      <c r="E213" s="37"/>
      <c r="F213" s="37"/>
      <c r="G213" s="37"/>
      <c r="H213" s="37"/>
      <c r="I213" s="37"/>
      <c r="J213" s="12"/>
    </row>
    <row r="214" spans="1:10">
      <c r="A214" s="33" t="s">
        <v>103</v>
      </c>
      <c r="B214" s="33" t="s">
        <v>121</v>
      </c>
      <c r="D214" s="37"/>
      <c r="E214" s="37"/>
      <c r="F214" s="37"/>
      <c r="G214" s="37"/>
      <c r="H214" s="37"/>
      <c r="J214" s="37">
        <f>E225-SUM(D198:I198,D212:I212)</f>
        <v>-1025458.8322585644</v>
      </c>
    </row>
    <row r="215" spans="1:10">
      <c r="D215" s="37"/>
      <c r="E215" s="37"/>
      <c r="F215" s="37"/>
      <c r="G215" s="37"/>
      <c r="H215" s="37"/>
      <c r="I215" s="37"/>
      <c r="J215" s="12"/>
    </row>
    <row r="216" spans="1:10" ht="15.75" thickBot="1">
      <c r="A216" s="33" t="s">
        <v>107</v>
      </c>
      <c r="B216" s="33" t="s">
        <v>165</v>
      </c>
      <c r="E216" s="5">
        <f>'Page 2-4'!D114</f>
        <v>3.8221590166375802E-2</v>
      </c>
      <c r="F216" s="37"/>
      <c r="G216" s="37"/>
      <c r="H216" s="37"/>
      <c r="I216" s="37"/>
      <c r="J216" s="12"/>
    </row>
    <row r="217" spans="1:10" ht="15.75" thickBot="1">
      <c r="A217" s="33" t="s">
        <v>108</v>
      </c>
      <c r="B217" s="33" t="s">
        <v>104</v>
      </c>
      <c r="E217" s="37">
        <f>'Page 2-4'!D113</f>
        <v>1949.3247541163907</v>
      </c>
      <c r="F217" s="37"/>
      <c r="G217" s="37"/>
      <c r="H217" s="37"/>
      <c r="I217" s="38" t="s">
        <v>120</v>
      </c>
      <c r="J217" s="39">
        <f>E225</f>
        <v>629369.69308855012</v>
      </c>
    </row>
    <row r="218" spans="1:10">
      <c r="A218" s="33" t="s">
        <v>109</v>
      </c>
      <c r="B218" s="33" t="s">
        <v>105</v>
      </c>
      <c r="E218" s="27">
        <f>AVERAGE(D190:I190,D204:I204)</f>
        <v>2448.6666666666665</v>
      </c>
      <c r="F218" s="37"/>
      <c r="G218" s="37"/>
      <c r="H218" s="37"/>
      <c r="I218" s="37"/>
      <c r="J218" s="12"/>
    </row>
    <row r="219" spans="1:10">
      <c r="A219" s="33" t="s">
        <v>110</v>
      </c>
      <c r="B219" s="33" t="s">
        <v>106</v>
      </c>
      <c r="E219" s="27">
        <f>SUM(D191:I191,D205:I205)</f>
        <v>141349855.34312823</v>
      </c>
      <c r="F219" s="37"/>
      <c r="G219" s="37"/>
      <c r="H219" s="37"/>
      <c r="I219" s="38" t="s">
        <v>54</v>
      </c>
      <c r="J219" s="25">
        <v>0.95579199999999997</v>
      </c>
    </row>
    <row r="220" spans="1:10">
      <c r="D220" s="37"/>
      <c r="E220" s="37"/>
      <c r="F220" s="37"/>
      <c r="G220" s="37"/>
      <c r="H220" s="37"/>
      <c r="I220" s="38" t="s">
        <v>56</v>
      </c>
      <c r="J220" s="13">
        <f>J217/J219</f>
        <v>658479.76661088411</v>
      </c>
    </row>
    <row r="221" spans="1:10">
      <c r="A221" s="33" t="s">
        <v>111</v>
      </c>
      <c r="B221" s="33" t="s">
        <v>114</v>
      </c>
      <c r="D221" s="37" t="s">
        <v>119</v>
      </c>
      <c r="E221" s="37">
        <f>E216*E219</f>
        <v>5402616.241001552</v>
      </c>
      <c r="F221" s="37"/>
      <c r="G221" s="37"/>
      <c r="H221" s="37"/>
      <c r="I221" s="38" t="s">
        <v>55</v>
      </c>
      <c r="J221" s="26">
        <v>47252760</v>
      </c>
    </row>
    <row r="222" spans="1:10">
      <c r="D222" s="37"/>
      <c r="E222" s="37"/>
      <c r="F222" s="37"/>
      <c r="G222" s="37"/>
      <c r="H222" s="37"/>
      <c r="I222" s="37" t="s">
        <v>57</v>
      </c>
      <c r="J222" s="14">
        <f>-J220/J221</f>
        <v>-1.3935265720158655E-2</v>
      </c>
    </row>
    <row r="223" spans="1:10">
      <c r="A223" s="33" t="s">
        <v>112</v>
      </c>
      <c r="B223" s="33" t="s">
        <v>115</v>
      </c>
      <c r="D223" s="37" t="s">
        <v>117</v>
      </c>
      <c r="E223" s="37">
        <f>E217*E218</f>
        <v>4773246.5479130019</v>
      </c>
      <c r="F223" s="37"/>
      <c r="G223" s="37"/>
      <c r="H223" s="37"/>
      <c r="I223" s="37"/>
      <c r="J223" s="12"/>
    </row>
    <row r="224" spans="1:10">
      <c r="D224" s="37"/>
      <c r="E224" s="37"/>
      <c r="F224" s="37"/>
      <c r="G224" s="37"/>
      <c r="H224" s="37"/>
      <c r="I224" s="37"/>
      <c r="J224" s="12"/>
    </row>
    <row r="225" spans="1:10">
      <c r="A225" s="33" t="s">
        <v>113</v>
      </c>
      <c r="B225" s="33" t="s">
        <v>116</v>
      </c>
      <c r="D225" s="37" t="s">
        <v>118</v>
      </c>
      <c r="E225" s="37">
        <f>E221-E223</f>
        <v>629369.69308855012</v>
      </c>
      <c r="F225" s="37"/>
      <c r="G225" s="37"/>
      <c r="H225" s="37"/>
      <c r="I225" s="37"/>
      <c r="J225" s="12"/>
    </row>
  </sheetData>
  <printOptions horizontalCentered="1" verticalCentered="1"/>
  <pageMargins left="0.57999999999999996" right="0.52" top="0.75" bottom="0.75" header="0.59" footer="0.3"/>
  <pageSetup scale="65" orientation="landscape" r:id="rId1"/>
  <headerFooter>
    <oddHeader>&amp;RExhibit No. ____(PDE-10)</oddHeader>
    <oddFooter>&amp;RPage &amp;P of &amp;N</oddFooter>
  </headerFooter>
  <rowBreaks count="4" manualBreakCount="4">
    <brk id="46" max="9" man="1"/>
    <brk id="92" max="8" man="1"/>
    <brk id="138" max="9" man="1"/>
    <brk id="183" max="9" man="1"/>
  </rowBreaks>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D2EDE5D49710546BF34E24D0FD386C8" ma:contentTypeVersion="143" ma:contentTypeDescription="" ma:contentTypeScope="" ma:versionID="02d4caa573078acd943627e8cf23a5b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2011-05-16T07:00:00+00:00</OpenedDate>
    <Date1 xmlns="dc463f71-b30c-4ab2-9473-d307f9d35888">2012-02-24T08:00:00+00:00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110876</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B1CB0706-463E-457C-A64B-767111DFD88B}"/>
</file>

<file path=customXml/itemProps2.xml><?xml version="1.0" encoding="utf-8"?>
<ds:datastoreItem xmlns:ds="http://schemas.openxmlformats.org/officeDocument/2006/customXml" ds:itemID="{6D7591F3-ECB5-4A31-818D-9E3B1BC09B51}"/>
</file>

<file path=customXml/itemProps3.xml><?xml version="1.0" encoding="utf-8"?>
<ds:datastoreItem xmlns:ds="http://schemas.openxmlformats.org/officeDocument/2006/customXml" ds:itemID="{016B3B8B-F3AB-42DE-9FEF-D8DD62A9A22B}"/>
</file>

<file path=customXml/itemProps4.xml><?xml version="1.0" encoding="utf-8"?>
<ds:datastoreItem xmlns:ds="http://schemas.openxmlformats.org/officeDocument/2006/customXml" ds:itemID="{86490726-3C17-4CEC-9D47-11A43F5FF3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Page 1</vt:lpstr>
      <vt:lpstr>Page 2-4</vt:lpstr>
      <vt:lpstr>Page 5-9</vt:lpstr>
      <vt:lpstr>Sheet1</vt:lpstr>
      <vt:lpstr>'Page 1'!Print_Area</vt:lpstr>
      <vt:lpstr>'Page 2-4'!Print_Area</vt:lpstr>
      <vt:lpstr>'Page 5-9'!Print_Area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Ehrbar</dc:creator>
  <cp:lastModifiedBy>Avista - Patrick Ehrbar</cp:lastModifiedBy>
  <cp:lastPrinted>2012-02-16T23:12:59Z</cp:lastPrinted>
  <dcterms:created xsi:type="dcterms:W3CDTF">2011-03-16T17:52:33Z</dcterms:created>
  <dcterms:modified xsi:type="dcterms:W3CDTF">2012-02-17T00:07:20Z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0x0101006E56B4D1795A2E4DB2F0B01679ED314A003D2EDE5D49710546BF34E24D0FD386C8</vt:lpwstr>
  </property>
  <property fmtid="{D5CDD505-2E9C-101B-9397-08002B2CF9AE}" pid="3" name="_docset_NoMedatataSyncRequired">
    <vt:lpwstr>False</vt:lpwstr>
  </property>
</Properties>
</file>