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55" activeTab="0"/>
  </bookViews>
  <sheets>
    <sheet name="KCH-2, p.1" sheetId="1" r:id="rId1"/>
    <sheet name="KCH-2, p.2" sheetId="2" r:id="rId2"/>
    <sheet name="KCH-2, p.3" sheetId="3" r:id="rId3"/>
    <sheet name="Exhibit KCH-3" sheetId="4" r:id="rId4"/>
    <sheet name="KCH-4" sheetId="5" r:id="rId5"/>
    <sheet name="KCH-5, p.1" sheetId="6" r:id="rId6"/>
    <sheet name="KCH-5, p.2" sheetId="7" r:id="rId7"/>
    <sheet name="KCH-5, p.3" sheetId="8" r:id="rId8"/>
    <sheet name="KCH-5, p.4" sheetId="9" r:id="rId9"/>
    <sheet name="KCH-5, p.5" sheetId="10" r:id="rId10"/>
    <sheet name="KCH-5, p.6" sheetId="11" r:id="rId11"/>
  </sheets>
  <externalReferences>
    <externalReference r:id="rId14"/>
  </externalReferences>
  <definedNames>
    <definedName name="Classification">'[1]Operating Expense'!#REF!</definedName>
    <definedName name="_xlnm.Print_Area" localSheetId="0">'KCH-2, p.1'!$A$1:$M$52</definedName>
    <definedName name="_xlnm.Print_Area" localSheetId="2">'KCH-2, p.3'!$A$1:$L$29</definedName>
    <definedName name="_xlnm.Print_Area" localSheetId="5">'KCH-5, p.1'!$A$1:$J$27</definedName>
    <definedName name="_xlnm.Print_Area" localSheetId="7">'KCH-5, p.3'!$A$1:$L$26</definedName>
    <definedName name="_xlnm.Print_Titles" localSheetId="8">'KCH-5, p.4'!$2:$4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NTownsend</author>
  </authors>
  <commentList>
    <comment ref="G6" authorId="0">
      <text>
        <r>
          <rPr>
            <b/>
            <sz val="8"/>
            <rFont val="Tahoma"/>
            <family val="0"/>
          </rPr>
          <t>NTownsend:</t>
        </r>
        <r>
          <rPr>
            <sz val="8"/>
            <rFont val="Tahoma"/>
            <family val="0"/>
          </rPr>
          <t xml:space="preserve">
PSE uses 2004 gas cost twice - in 2004 &amp; 2005; each subsequent year referred to prior yr gas cost.
</t>
        </r>
      </text>
    </comment>
  </commentList>
</comments>
</file>

<file path=xl/comments2.xml><?xml version="1.0" encoding="utf-8"?>
<comments xmlns="http://schemas.openxmlformats.org/spreadsheetml/2006/main">
  <authors>
    <author>NTownsend</author>
  </authors>
  <commentList>
    <comment ref="D9" authorId="0">
      <text>
        <r>
          <rPr>
            <b/>
            <sz val="8"/>
            <rFont val="Tahoma"/>
            <family val="0"/>
          </rPr>
          <t>NTownsend:</t>
        </r>
        <r>
          <rPr>
            <sz val="8"/>
            <rFont val="Tahoma"/>
            <family val="0"/>
          </rPr>
          <t xml:space="preserve">
PSE calculation fails to escalate property tax beyong yr 2005</t>
        </r>
      </text>
    </comment>
  </commentList>
</comments>
</file>

<file path=xl/sharedStrings.xml><?xml version="1.0" encoding="utf-8"?>
<sst xmlns="http://schemas.openxmlformats.org/spreadsheetml/2006/main" count="402" uniqueCount="200">
  <si>
    <t>Schedule 25</t>
  </si>
  <si>
    <t>Schedule 26</t>
  </si>
  <si>
    <t>Demand Cost of Service (Company Proposed COS)</t>
  </si>
  <si>
    <t>Energy Cost of Service (Company Proposed COS)</t>
  </si>
  <si>
    <t>(for Schedules 25 &amp; 26)</t>
  </si>
  <si>
    <t>Demand Costs Over/(Under) Recovery from Demand Charges</t>
  </si>
  <si>
    <t>Energy Costs Over/(Under) Recovery from Energy Charges</t>
  </si>
  <si>
    <t>Ln #</t>
  </si>
  <si>
    <t>Source</t>
  </si>
  <si>
    <t>Demand</t>
  </si>
  <si>
    <t>Energy</t>
  </si>
  <si>
    <t>Comparison of Demand &amp; Energy Related Costs versus Demand-Related Revenues</t>
  </si>
  <si>
    <t>CEP-8 (RECAST), p. 3</t>
  </si>
  <si>
    <t>CEP-8 (RECAST), p. 4</t>
  </si>
  <si>
    <t>JAH 12, pp. 4 &amp; 5</t>
  </si>
  <si>
    <t>Net Demand Cost of Service</t>
  </si>
  <si>
    <t>Revenue Credit x 13%</t>
  </si>
  <si>
    <t>Revenue Credit x 87%</t>
  </si>
  <si>
    <t>Net Energy Cost of Service</t>
  </si>
  <si>
    <t>13% x CEP-8 (RECAST), p. 30, Lns 330&amp;331</t>
  </si>
  <si>
    <t>87% x CEP-8 (RECAST), p. 30, Lns 330&amp;331</t>
  </si>
  <si>
    <t>Ln 1 - Ln 2</t>
  </si>
  <si>
    <t>Twelve Months ended September 30, 2003</t>
  </si>
  <si>
    <t>Secondary Voltage, Demand Greater than 50 kW but less than or equal to 350 kW</t>
  </si>
  <si>
    <t>(As filed by PSE on June 2, 2004)</t>
  </si>
  <si>
    <t>Proforma</t>
  </si>
  <si>
    <t>Temp.</t>
  </si>
  <si>
    <t>Rates Effective 10-1-03</t>
  </si>
  <si>
    <t>Rates Effective 2005</t>
  </si>
  <si>
    <t>Difference</t>
  </si>
  <si>
    <t>Adj.</t>
  </si>
  <si>
    <t>Charge</t>
  </si>
  <si>
    <t xml:space="preserve">
Revenue</t>
  </si>
  <si>
    <t>PSE Filing
Revenue</t>
  </si>
  <si>
    <t>$</t>
  </si>
  <si>
    <t>%</t>
  </si>
  <si>
    <t>Total Basic Charge</t>
  </si>
  <si>
    <t>Winter - First 20,000 kWh</t>
  </si>
  <si>
    <t>Summer - First 20,000 kWh</t>
  </si>
  <si>
    <t>All Over 20,000 kWh</t>
  </si>
  <si>
    <t>Total kWh Energy</t>
  </si>
  <si>
    <t>Winter - All Over 50 kW</t>
  </si>
  <si>
    <t>Summer - All Over 50 kW</t>
  </si>
  <si>
    <t>Total kW Demand</t>
  </si>
  <si>
    <t>Total kVarh Reactive Power</t>
  </si>
  <si>
    <t>Schedule 95</t>
  </si>
  <si>
    <t>Total Revenue</t>
  </si>
  <si>
    <t>Amount</t>
  </si>
  <si>
    <t>Energy COS</t>
  </si>
  <si>
    <t>Rev. Credits</t>
  </si>
  <si>
    <t>87% x CEP-8 (RECAST), p. 30, Lns 330 &amp; 331</t>
  </si>
  <si>
    <t>Net Energy COS</t>
  </si>
  <si>
    <t>JAH-12, p. 4 of 32</t>
  </si>
  <si>
    <t>Ln 3 ÷ Ln 4</t>
  </si>
  <si>
    <t>(Set Tail Block Energy Charge = Energy COS; Increase Demand Charges)</t>
  </si>
  <si>
    <t>Respread of Reduced Energy $</t>
  </si>
  <si>
    <t>Proposed vs Proforma</t>
  </si>
  <si>
    <t>Secondary Voltage, Demand Greater than 350 kW</t>
  </si>
  <si>
    <t>Winter - All kW</t>
  </si>
  <si>
    <t>Summer - All kW</t>
  </si>
  <si>
    <t>(Set Energy Charge = Energy COS; Difference to Demand)</t>
  </si>
  <si>
    <t>Calculated
Revenue</t>
  </si>
  <si>
    <t>Demand Related Costs Recovered in Energy First Block Rates</t>
  </si>
  <si>
    <t>Net Energy Related Revenues</t>
  </si>
  <si>
    <t>Gross Energy-Related Revenues</t>
  </si>
  <si>
    <t>Ln 8 - Ln 9</t>
  </si>
  <si>
    <t>NA</t>
  </si>
  <si>
    <t>Data Source:  PSE Exhibit No. _____ (JAH-12), Page 4 of 32</t>
  </si>
  <si>
    <t>Data Source:  PSE Exhibit No. _____ (JAH-12), Page 5 of 32</t>
  </si>
  <si>
    <t>Winter First Block Energy (kWh)</t>
  </si>
  <si>
    <t>PSE Proposed Summer First Block Energy Rate ($/kWh)</t>
  </si>
  <si>
    <t>PSE Proposed Winter First Block Energy Rate ($/kWh)</t>
  </si>
  <si>
    <t>Summer First Block Energy (kWh)</t>
  </si>
  <si>
    <t>Demand-Related Revenues from Demand Charge</t>
  </si>
  <si>
    <t>Total Demand-Related Revenues</t>
  </si>
  <si>
    <t>See Below, Ln 22</t>
  </si>
  <si>
    <t>Ln 4 - Ln 5</t>
  </si>
  <si>
    <t>Ln 6 - Ln 3</t>
  </si>
  <si>
    <t>Ln 11 - Ln 12</t>
  </si>
  <si>
    <t>Ln 13 - Ln 10</t>
  </si>
  <si>
    <t>(Ln 16 - Ln 15) x Ln 17</t>
  </si>
  <si>
    <t>(Ln 19 - Ln 15) x Ln 20</t>
  </si>
  <si>
    <t>Ln 18 + Ln 21</t>
  </si>
  <si>
    <t>Winter Demand-Related Costs Collected in Winter Energy Rate ($)</t>
  </si>
  <si>
    <t>Summer Demand-Related Costs Collected in Summer Energy Rate ($)</t>
  </si>
  <si>
    <t>Total Demand-Related Costs Collected in First Block Energy Rates ($)</t>
  </si>
  <si>
    <t>Step One:  Determination of Demand-Related and Energy-Related Revenues - Rate Schedule 25</t>
  </si>
  <si>
    <t>PSE Proposed</t>
  </si>
  <si>
    <t>PSE Proposed vs Proforma</t>
  </si>
  <si>
    <t>Billing Determinants</t>
  </si>
  <si>
    <t>Step Two:  Development of Energy Cost of Service per kWh - Schedule 25</t>
  </si>
  <si>
    <t>Step Three:  Kroger Proposed Rate Schedule 25 Design @ PSE Proposed Revenue Requirement</t>
  </si>
  <si>
    <t>Kroger Proposed</t>
  </si>
  <si>
    <t>Kroger Proposed vs PSE Proposed</t>
  </si>
  <si>
    <t>PSE Proforma and PSE Proposed Revenue</t>
  </si>
  <si>
    <t>Step One:  Determination of Demand-Related and Energy-Related Revenues - Rate Schedule 26</t>
  </si>
  <si>
    <t>Step Two:  Development of Energy Cost of Service per kWh - Schedule 26</t>
  </si>
  <si>
    <t>Step Three:  Kroger Proposed Rate Schedule 26 Design @ PSE Proposed Revenue Requirement</t>
  </si>
  <si>
    <t>Demand-Related Revenues from Energy Charge</t>
  </si>
  <si>
    <t>Schedule 25 Demand-Related Revenues Imputed to First Block of Energy Rates</t>
  </si>
  <si>
    <t>PSE Proposed Tail Block Energy Rate ($/kWh)</t>
  </si>
  <si>
    <t>Combined Cycle Plant (Nominal $)</t>
  </si>
  <si>
    <t>PSE</t>
  </si>
  <si>
    <t>Capital Cost</t>
  </si>
  <si>
    <t>Fixed O&amp;M</t>
  </si>
  <si>
    <t>Ins. / Prop. Tax</t>
  </si>
  <si>
    <t>Variable O&amp;M</t>
  </si>
  <si>
    <t>Gas</t>
  </si>
  <si>
    <t>Total</t>
  </si>
  <si>
    <t>Annual</t>
  </si>
  <si>
    <t>Year</t>
  </si>
  <si>
    <t>$/MWh-Yr</t>
  </si>
  <si>
    <t>$/MWh</t>
  </si>
  <si>
    <t>$/MMBtu</t>
  </si>
  <si>
    <t>Inflation</t>
  </si>
  <si>
    <t>Capital</t>
  </si>
  <si>
    <t>Var. O&amp;M</t>
  </si>
  <si>
    <t>Heat Rate</t>
  </si>
  <si>
    <t>$/kW</t>
  </si>
  <si>
    <t>$/kW/yr</t>
  </si>
  <si>
    <t>Btu/kWh</t>
  </si>
  <si>
    <t>Combined Cycle CT Plant</t>
  </si>
  <si>
    <t>Source:  PSE Least Cost Plan Appdx J (Escalated 2.5%)</t>
  </si>
  <si>
    <t>CCCT Capacity Factor</t>
  </si>
  <si>
    <t>Weighted Cost of Capital CCCT</t>
  </si>
  <si>
    <t>Levelized Costs at Weighted Cost of Capital</t>
  </si>
  <si>
    <t>Weighted Cost of Capital</t>
  </si>
  <si>
    <t>Debt</t>
  </si>
  <si>
    <t>Levelized Cost ($/MWh)</t>
  </si>
  <si>
    <t>Preferred</t>
  </si>
  <si>
    <t>Levelized Cost ($/kW-yr)</t>
  </si>
  <si>
    <t>Common Equity</t>
  </si>
  <si>
    <t>Simple Cycle Plant (Nominal $)</t>
  </si>
  <si>
    <t>Peak</t>
  </si>
  <si>
    <t>Fuel Oil</t>
  </si>
  <si>
    <t>Credit</t>
  </si>
  <si>
    <t>$/kW-Yr</t>
  </si>
  <si>
    <t>Simple Cycle CT Plant</t>
  </si>
  <si>
    <t>Fixed Charge Rate CT</t>
  </si>
  <si>
    <t>Reserve Margin</t>
  </si>
  <si>
    <t>Derivation of Peak Credit</t>
  </si>
  <si>
    <t>Peak Credit</t>
  </si>
  <si>
    <t>Combustion</t>
  </si>
  <si>
    <t>CC</t>
  </si>
  <si>
    <t>Turbine</t>
  </si>
  <si>
    <t>CT</t>
  </si>
  <si>
    <r>
      <t>Gas</t>
    </r>
    <r>
      <rPr>
        <b/>
        <vertAlign val="superscript"/>
        <sz val="10"/>
        <rFont val="Arial"/>
        <family val="2"/>
      </rPr>
      <t>1</t>
    </r>
  </si>
  <si>
    <t>Kroger Calculated Peak Credit</t>
  </si>
  <si>
    <t>(PSE - As Filed)</t>
  </si>
  <si>
    <t>(PSE Method - Corrected)</t>
  </si>
  <si>
    <t>Summary Class</t>
  </si>
  <si>
    <t>Res Svc</t>
  </si>
  <si>
    <t>Sec Svc 24</t>
  </si>
  <si>
    <t>Sec Svc 25</t>
  </si>
  <si>
    <t>Sec Svc 26</t>
  </si>
  <si>
    <t>Pri Svc</t>
  </si>
  <si>
    <t>Retail Wheeling</t>
  </si>
  <si>
    <t>High Voltage</t>
  </si>
  <si>
    <t>Lighting Svc</t>
  </si>
  <si>
    <t>Firm Resale</t>
  </si>
  <si>
    <t>Allocation</t>
  </si>
  <si>
    <t>Total Operating Revenue</t>
  </si>
  <si>
    <t>Total Operating Expense          (OE.T)</t>
  </si>
  <si>
    <t>Net Income</t>
  </si>
  <si>
    <t>Net Investment in Plant</t>
  </si>
  <si>
    <t>Realized Rate of Return</t>
  </si>
  <si>
    <t>Requested Return On Net Investment          (RRB.T)</t>
  </si>
  <si>
    <t>Total Cost of Service          (TC.T)</t>
  </si>
  <si>
    <t>Operating Income Deficiency          (OID.T)</t>
  </si>
  <si>
    <t>Adjusted for Conversion Factor</t>
  </si>
  <si>
    <t>Firm Sales of Electricity</t>
  </si>
  <si>
    <t>Revenue Required From Rates</t>
  </si>
  <si>
    <t>Cost of Service Study Results</t>
  </si>
  <si>
    <t>(As Filed)</t>
  </si>
  <si>
    <t>(Corrected)</t>
  </si>
  <si>
    <r>
      <t>Credit</t>
    </r>
    <r>
      <rPr>
        <b/>
        <vertAlign val="superscript"/>
        <sz val="10"/>
        <rFont val="Arial"/>
        <family val="2"/>
      </rPr>
      <t>2</t>
    </r>
  </si>
  <si>
    <r>
      <t>Credit</t>
    </r>
    <r>
      <rPr>
        <b/>
        <vertAlign val="superscript"/>
        <sz val="10"/>
        <rFont val="Arial"/>
        <family val="2"/>
      </rPr>
      <t>3</t>
    </r>
  </si>
  <si>
    <r>
      <t>Ins. / Prop. Tax</t>
    </r>
    <r>
      <rPr>
        <b/>
        <vertAlign val="superscript"/>
        <sz val="10"/>
        <rFont val="Arial"/>
        <family val="2"/>
      </rPr>
      <t>1</t>
    </r>
  </si>
  <si>
    <t>Rate Design Effective 2005</t>
  </si>
  <si>
    <t>Note 3:  Capital &amp; Fixed O&amp;M Costs reduced by 1/2 and then escalated by the Reserve Margin;  Peak credit calculation using PSE method as corrected includes Ins./Prop. Tax</t>
  </si>
  <si>
    <t>w/ 100%</t>
  </si>
  <si>
    <r>
      <t>SCCT Costs</t>
    </r>
    <r>
      <rPr>
        <b/>
        <vertAlign val="superscript"/>
        <sz val="10"/>
        <rFont val="Arial"/>
        <family val="2"/>
      </rPr>
      <t>4</t>
    </r>
  </si>
  <si>
    <t>Corrected</t>
  </si>
  <si>
    <t>Fixed Charge Rate CCCT</t>
  </si>
  <si>
    <t>CT Peak Operation ( Fuel Oil) Hrs/yr</t>
  </si>
  <si>
    <t>CT Peak Operation (Gas) Hrs/yr</t>
  </si>
  <si>
    <t>Weighted Cost of Capital CT</t>
  </si>
  <si>
    <t>Note 2:  Capital &amp; Fixed O&amp;M Costs reduced by 1/2 and then escalated by the Reserve Margin;  PSE peak credit calculation as filed excluded Ins./Prop. Tax for CT peak credit.</t>
  </si>
  <si>
    <t>Note 4:  Calculation includes 100% Capital &amp; Fixed O&amp;M Costs, excludes escalation by the Reserve Margin, and includes the correction to include escalated Ins./Prop. Tax</t>
  </si>
  <si>
    <t>(Company Proposed Method Modified to Adjust Peak Credit to 21%)</t>
  </si>
  <si>
    <t>Source:  PSE Electric Cost of Service Model - Proposed Method with Peak Credit increased to 21% &amp; Energy reduced to 79%)</t>
  </si>
  <si>
    <t>(Recalculated to Remove 50% Capital &amp; Fixed O&amp;M Cost Reduction and Reserve Margin Adjustment)</t>
  </si>
  <si>
    <t>Note 1:  PSE's calculation uses the 2004 gas price in both 2004 &amp; 2005 and the previous year's gas price for each year thereafter (e.g. 2005 gas price in 2006).
             This column corrects this discrepancy.</t>
  </si>
  <si>
    <t>Schedule 26 Total Energy (kWh)</t>
  </si>
  <si>
    <t>Energy Cost ($/kWh)</t>
  </si>
  <si>
    <t>Schedule 25 Total Energy (kWh)</t>
  </si>
  <si>
    <t>Note 1:  PSE's calculation of annual Insurance &amp; Property Taxes appears to exclude inflation beginning in 2006.  This calculation corrects this discrepancy.</t>
  </si>
  <si>
    <t>(Recalculated to remove 50% adjustment to CT Capital &amp; Fixed O&amp;M costs and Reserve Margin Adjustment)</t>
  </si>
  <si>
    <t>Revenue to Revenue Requirement</t>
  </si>
  <si>
    <t>Adjusted Revenue to Revenue Requirement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</si>
</sst>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_(* #,##0.000_);_(* \(#,##0.000\);_(* &quot;-&quot;??_);_(@_)"/>
    <numFmt numFmtId="176" formatCode="_(* #,##0.0000_);_(* \(#,##0.0000\);_(* &quot;-&quot;??_);_(@_)"/>
    <numFmt numFmtId="177" formatCode="0.0000"/>
    <numFmt numFmtId="178" formatCode="_(* #,##0.0000_);_(* \(#,##0.0000\);_(* &quot;-&quot;????_);_(@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00000_);_(&quot;$&quot;* \(#,##0.000000\);_(&quot;$&quot;* &quot;-&quot;??_);_(@_)"/>
    <numFmt numFmtId="183" formatCode="0.000000"/>
    <numFmt numFmtId="184" formatCode="_(* #,##0.000000_);_(* \(#,##0.000000\);_(* &quot;-&quot;??????_);_(@_)"/>
    <numFmt numFmtId="185" formatCode="_(* #,##0.00000_);_(* \(#,##0.00000\);_(* &quot;-&quot;???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_);_(* \(#,##0.0\);_(* &quot;-&quot;?_);_(@_)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&quot;$&quot;#,##0.00"/>
    <numFmt numFmtId="195" formatCode="#,##0.0"/>
    <numFmt numFmtId="196" formatCode="&quot;$&quot;#,##0.000_);\(&quot;$&quot;#,##0.000\)"/>
    <numFmt numFmtId="197" formatCode="&quot;$&quot;#,##0.0000_);\(&quot;$&quot;#,##0.0000\)"/>
    <numFmt numFmtId="198" formatCode="&quot;$&quot;#,##0.00000_);\(&quot;$&quot;#,##0.00000\)"/>
    <numFmt numFmtId="199" formatCode="&quot;$&quot;#,##0.000"/>
    <numFmt numFmtId="200" formatCode="&quot;$&quot;#,##0.0000"/>
    <numFmt numFmtId="201" formatCode="0.000"/>
    <numFmt numFmtId="202" formatCode="m/d/yy\ h:m\i\n"/>
    <numFmt numFmtId="203" formatCode="&quot;$&quot;#,##0.0_);[Red]\(&quot;$&quot;#,##0.0\)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000000"/>
    <numFmt numFmtId="210" formatCode="0.0000\ "/>
    <numFmt numFmtId="211" formatCode="&quot;$&quot;#,##0.0000_);[Red]\(&quot;$&quot;#,##0.0000\)"/>
    <numFmt numFmtId="212" formatCode="mm/dd/yy"/>
    <numFmt numFmtId="213" formatCode="#,###"/>
    <numFmt numFmtId="214" formatCode="#,###.0"/>
    <numFmt numFmtId="215" formatCode="#,###.00"/>
    <numFmt numFmtId="216" formatCode="_(* #,##0.0000000_);_(* \(#,##0.0000000\);_(* &quot;-&quot;???????_);_(@_)"/>
    <numFmt numFmtId="217" formatCode="[$-409]dddd\,\ mmmm\ dd\,\ yyyy"/>
    <numFmt numFmtId="218" formatCode="[$-F800]dddd\,\ mmmm\ dd\,\ yyyy"/>
    <numFmt numFmtId="219" formatCode="[$-409]mmmm\ d\,\ yyyy;@"/>
    <numFmt numFmtId="220" formatCode="&quot;$&quot;#,##0.000_);[Red]\(&quot;$&quot;#,##0.000\)"/>
    <numFmt numFmtId="221" formatCode="&quot;$&quot;#,##0.00000_);[Red]\(&quot;$&quot;#,##0.00000\)"/>
    <numFmt numFmtId="222" formatCode="&quot;$&quot;#,##0.000000_);[Red]\(&quot;$&quot;#,##0.000000\)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doubleAccounting"/>
      <sz val="10"/>
      <name val="Arial"/>
      <family val="0"/>
    </font>
    <font>
      <u val="singleAccounting"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Helv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6" fontId="1" fillId="0" borderId="0" xfId="0" applyNumberFormat="1" applyFont="1" applyAlignment="1">
      <alignment horizontal="right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right" indent="1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6" fontId="9" fillId="0" borderId="0" xfId="0" applyNumberFormat="1" applyFont="1" applyAlignment="1">
      <alignment/>
    </xf>
    <xf numFmtId="44" fontId="1" fillId="0" borderId="0" xfId="18" applyFont="1" applyAlignment="1">
      <alignment/>
    </xf>
    <xf numFmtId="168" fontId="9" fillId="0" borderId="0" xfId="18" applyNumberFormat="1" applyFont="1" applyAlignment="1">
      <alignment/>
    </xf>
    <xf numFmtId="166" fontId="0" fillId="0" borderId="0" xfId="0" applyNumberFormat="1" applyAlignment="1">
      <alignment/>
    </xf>
    <xf numFmtId="168" fontId="1" fillId="0" borderId="0" xfId="18" applyNumberFormat="1" applyFont="1" applyAlignment="1">
      <alignment/>
    </xf>
    <xf numFmtId="166" fontId="1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182" fontId="1" fillId="0" borderId="0" xfId="18" applyNumberFormat="1" applyFont="1" applyAlignment="1">
      <alignment/>
    </xf>
    <xf numFmtId="166" fontId="9" fillId="0" borderId="0" xfId="15" applyNumberFormat="1" applyFont="1" applyAlignment="1">
      <alignment/>
    </xf>
    <xf numFmtId="166" fontId="1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0" fillId="0" borderId="0" xfId="18" applyNumberFormat="1" applyFont="1" applyAlignment="1">
      <alignment/>
    </xf>
    <xf numFmtId="181" fontId="1" fillId="0" borderId="0" xfId="18" applyNumberFormat="1" applyFont="1" applyAlignment="1">
      <alignment/>
    </xf>
    <xf numFmtId="168" fontId="1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 quotePrefix="1">
      <alignment horizontal="left" indent="1"/>
    </xf>
    <xf numFmtId="166" fontId="1" fillId="0" borderId="0" xfId="15" applyNumberFormat="1" applyFont="1" applyAlignment="1">
      <alignment horizontal="center"/>
    </xf>
    <xf numFmtId="187" fontId="10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44" fontId="1" fillId="0" borderId="0" xfId="18" applyFont="1" applyFill="1" applyAlignment="1">
      <alignment/>
    </xf>
    <xf numFmtId="168" fontId="0" fillId="0" borderId="0" xfId="18" applyNumberFormat="1" applyAlignment="1">
      <alignment/>
    </xf>
    <xf numFmtId="168" fontId="0" fillId="0" borderId="0" xfId="0" applyNumberFormat="1" applyAlignment="1">
      <alignment/>
    </xf>
    <xf numFmtId="182" fontId="1" fillId="0" borderId="0" xfId="18" applyNumberFormat="1" applyFont="1" applyFill="1" applyAlignment="1">
      <alignment/>
    </xf>
    <xf numFmtId="44" fontId="12" fillId="0" borderId="0" xfId="18" applyFont="1" applyAlignment="1">
      <alignment/>
    </xf>
    <xf numFmtId="168" fontId="10" fillId="0" borderId="0" xfId="0" applyNumberFormat="1" applyFont="1" applyAlignment="1">
      <alignment/>
    </xf>
    <xf numFmtId="168" fontId="12" fillId="0" borderId="0" xfId="18" applyNumberFormat="1" applyFont="1" applyAlignment="1">
      <alignment/>
    </xf>
    <xf numFmtId="168" fontId="9" fillId="0" borderId="0" xfId="0" applyNumberFormat="1" applyFont="1" applyBorder="1" applyAlignment="1">
      <alignment/>
    </xf>
    <xf numFmtId="44" fontId="0" fillId="0" borderId="0" xfId="18" applyAlignment="1">
      <alignment/>
    </xf>
    <xf numFmtId="169" fontId="0" fillId="0" borderId="0" xfId="24" applyNumberForma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 wrapText="1"/>
    </xf>
    <xf numFmtId="181" fontId="1" fillId="0" borderId="0" xfId="18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 indent="1"/>
    </xf>
    <xf numFmtId="187" fontId="1" fillId="0" borderId="0" xfId="15" applyNumberFormat="1" applyFont="1" applyAlignment="1">
      <alignment/>
    </xf>
    <xf numFmtId="169" fontId="9" fillId="0" borderId="0" xfId="24" applyNumberFormat="1" applyFont="1" applyAlignment="1">
      <alignment horizontal="right" indent="2"/>
    </xf>
    <xf numFmtId="169" fontId="1" fillId="0" borderId="0" xfId="24" applyNumberFormat="1" applyFont="1" applyAlignment="1">
      <alignment horizontal="right" indent="2"/>
    </xf>
    <xf numFmtId="169" fontId="10" fillId="0" borderId="0" xfId="24" applyNumberFormat="1" applyFont="1" applyAlignment="1">
      <alignment horizontal="right" indent="2"/>
    </xf>
    <xf numFmtId="169" fontId="6" fillId="0" borderId="0" xfId="24" applyNumberFormat="1" applyFont="1" applyAlignment="1">
      <alignment horizontal="right" indent="2"/>
    </xf>
    <xf numFmtId="0" fontId="6" fillId="0" borderId="0" xfId="0" applyNumberFormat="1" applyFont="1" applyAlignment="1">
      <alignment horizontal="left" indent="2"/>
    </xf>
    <xf numFmtId="0" fontId="0" fillId="0" borderId="0" xfId="0" applyAlignment="1">
      <alignment horizontal="center"/>
    </xf>
    <xf numFmtId="7" fontId="0" fillId="0" borderId="0" xfId="18" applyNumberFormat="1" applyAlignment="1">
      <alignment horizontal="center"/>
    </xf>
    <xf numFmtId="194" fontId="0" fillId="0" borderId="0" xfId="0" applyNumberFormat="1" applyAlignment="1">
      <alignment horizontal="center"/>
    </xf>
    <xf numFmtId="194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9" fontId="13" fillId="0" borderId="0" xfId="24" applyNumberFormat="1" applyFont="1" applyAlignment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7" fontId="13" fillId="0" borderId="0" xfId="18" applyNumberFormat="1" applyFont="1" applyAlignment="1">
      <alignment horizontal="center"/>
    </xf>
    <xf numFmtId="10" fontId="0" fillId="0" borderId="0" xfId="24" applyNumberFormat="1" applyFont="1" applyAlignment="1">
      <alignment horizontal="center"/>
    </xf>
    <xf numFmtId="194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0" fontId="0" fillId="0" borderId="0" xfId="0" applyNumberFormat="1" applyAlignment="1">
      <alignment/>
    </xf>
    <xf numFmtId="194" fontId="0" fillId="0" borderId="0" xfId="0" applyNumberFormat="1" applyAlignment="1">
      <alignment/>
    </xf>
    <xf numFmtId="7" fontId="14" fillId="0" borderId="0" xfId="18" applyNumberFormat="1" applyFont="1" applyFill="1" applyAlignment="1">
      <alignment horizontal="center"/>
    </xf>
    <xf numFmtId="10" fontId="0" fillId="0" borderId="0" xfId="24" applyNumberFormat="1" applyFont="1" applyAlignment="1">
      <alignment/>
    </xf>
    <xf numFmtId="10" fontId="17" fillId="0" borderId="0" xfId="24" applyNumberFormat="1" applyFont="1" applyAlignment="1">
      <alignment/>
    </xf>
    <xf numFmtId="9" fontId="0" fillId="0" borderId="0" xfId="24" applyNumberFormat="1" applyAlignment="1">
      <alignment horizontal="center"/>
    </xf>
    <xf numFmtId="0" fontId="18" fillId="0" borderId="0" xfId="0" applyFont="1" applyAlignment="1">
      <alignment/>
    </xf>
    <xf numFmtId="9" fontId="0" fillId="0" borderId="10" xfId="24" applyNumberFormat="1" applyBorder="1" applyAlignment="1">
      <alignment horizontal="center"/>
    </xf>
    <xf numFmtId="0" fontId="8" fillId="0" borderId="0" xfId="23" applyFont="1" applyAlignment="1">
      <alignment/>
    </xf>
    <xf numFmtId="0" fontId="8" fillId="0" borderId="0" xfId="23" applyFont="1" applyAlignment="1">
      <alignment/>
    </xf>
    <xf numFmtId="0" fontId="8" fillId="0" borderId="11" xfId="23" applyFont="1" applyFill="1" applyBorder="1" applyAlignment="1">
      <alignment horizontal="center" wrapText="1"/>
    </xf>
    <xf numFmtId="3" fontId="22" fillId="0" borderId="12" xfId="17" applyNumberFormat="1" applyFont="1" applyFill="1" applyBorder="1" applyAlignment="1" applyProtection="1">
      <alignment horizontal="center" wrapText="1"/>
      <protection locked="0"/>
    </xf>
    <xf numFmtId="3" fontId="22" fillId="0" borderId="13" xfId="17" applyNumberFormat="1" applyFont="1" applyFill="1" applyBorder="1" applyAlignment="1" applyProtection="1">
      <alignment horizontal="center" wrapText="1"/>
      <protection locked="0"/>
    </xf>
    <xf numFmtId="0" fontId="8" fillId="0" borderId="14" xfId="23" applyFont="1" applyFill="1" applyBorder="1" applyAlignment="1">
      <alignment horizontal="center" wrapText="1"/>
    </xf>
    <xf numFmtId="3" fontId="22" fillId="0" borderId="15" xfId="17" applyNumberFormat="1" applyFont="1" applyFill="1" applyBorder="1" applyAlignment="1" applyProtection="1">
      <alignment horizontal="center" wrapText="1"/>
      <protection locked="0"/>
    </xf>
    <xf numFmtId="3" fontId="22" fillId="0" borderId="16" xfId="17" applyNumberFormat="1" applyFont="1" applyFill="1" applyBorder="1" applyAlignment="1" applyProtection="1">
      <alignment horizontal="center" wrapText="1"/>
      <protection locked="0"/>
    </xf>
    <xf numFmtId="0" fontId="8" fillId="0" borderId="17" xfId="23" applyFont="1" applyFill="1" applyBorder="1" applyAlignment="1">
      <alignment horizontal="center" wrapText="1"/>
    </xf>
    <xf numFmtId="3" fontId="22" fillId="0" borderId="18" xfId="17" applyNumberFormat="1" applyFont="1" applyFill="1" applyBorder="1" applyAlignment="1" applyProtection="1">
      <alignment horizontal="center" wrapText="1"/>
      <protection locked="0"/>
    </xf>
    <xf numFmtId="3" fontId="22" fillId="0" borderId="19" xfId="17" applyNumberFormat="1" applyFont="1" applyFill="1" applyBorder="1" applyAlignment="1" applyProtection="1">
      <alignment horizontal="center" wrapText="1"/>
      <protection locked="0"/>
    </xf>
    <xf numFmtId="6" fontId="8" fillId="0" borderId="0" xfId="20" applyNumberFormat="1" applyFont="1" applyAlignment="1">
      <alignment/>
    </xf>
    <xf numFmtId="0" fontId="8" fillId="0" borderId="0" xfId="23" applyFont="1" applyAlignment="1">
      <alignment vertical="top" wrapText="1"/>
    </xf>
    <xf numFmtId="6" fontId="8" fillId="0" borderId="0" xfId="23" applyNumberFormat="1" applyFont="1" applyAlignment="1">
      <alignment/>
    </xf>
    <xf numFmtId="10" fontId="8" fillId="0" borderId="0" xfId="24" applyNumberFormat="1" applyFont="1" applyAlignment="1">
      <alignment/>
    </xf>
    <xf numFmtId="0" fontId="8" fillId="0" borderId="0" xfId="23" applyFont="1" applyAlignment="1" quotePrefix="1">
      <alignment horizontal="left" vertical="top" wrapText="1"/>
    </xf>
    <xf numFmtId="0" fontId="8" fillId="0" borderId="0" xfId="23" applyFont="1" applyAlignment="1">
      <alignment horizontal="left" vertical="top" wrapText="1"/>
    </xf>
    <xf numFmtId="5" fontId="8" fillId="0" borderId="0" xfId="23" applyNumberFormat="1" applyFont="1" applyAlignment="1">
      <alignment/>
    </xf>
    <xf numFmtId="5" fontId="1" fillId="0" borderId="0" xfId="0" applyNumberFormat="1" applyFont="1" applyAlignment="1">
      <alignment horizontal="right" indent="1"/>
    </xf>
    <xf numFmtId="7" fontId="0" fillId="0" borderId="0" xfId="18" applyNumberFormat="1" applyFont="1" applyFill="1" applyAlignment="1">
      <alignment horizontal="center"/>
    </xf>
    <xf numFmtId="194" fontId="0" fillId="0" borderId="0" xfId="0" applyNumberFormat="1" applyFont="1" applyAlignment="1">
      <alignment horizontal="center"/>
    </xf>
    <xf numFmtId="7" fontId="0" fillId="0" borderId="0" xfId="18" applyNumberFormat="1" applyFont="1" applyAlignment="1">
      <alignment horizontal="center"/>
    </xf>
    <xf numFmtId="9" fontId="0" fillId="0" borderId="0" xfId="24" applyFont="1" applyAlignment="1">
      <alignment/>
    </xf>
    <xf numFmtId="169" fontId="0" fillId="0" borderId="0" xfId="24" applyNumberFormat="1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Fill="1" applyAlignment="1">
      <alignment horizontal="center"/>
    </xf>
    <xf numFmtId="194" fontId="0" fillId="0" borderId="0" xfId="18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166" fontId="0" fillId="0" borderId="0" xfId="0" applyNumberFormat="1" applyFont="1" applyAlignment="1">
      <alignment/>
    </xf>
    <xf numFmtId="182" fontId="9" fillId="0" borderId="0" xfId="18" applyNumberFormat="1" applyFont="1" applyAlignment="1">
      <alignment/>
    </xf>
    <xf numFmtId="168" fontId="11" fillId="0" borderId="0" xfId="0" applyNumberFormat="1" applyFont="1" applyAlignment="1">
      <alignment/>
    </xf>
    <xf numFmtId="168" fontId="11" fillId="0" borderId="0" xfId="18" applyNumberFormat="1" applyFont="1" applyAlignment="1">
      <alignment/>
    </xf>
    <xf numFmtId="169" fontId="11" fillId="0" borderId="0" xfId="24" applyNumberFormat="1" applyFont="1" applyAlignment="1">
      <alignment/>
    </xf>
    <xf numFmtId="182" fontId="9" fillId="0" borderId="0" xfId="18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44" fontId="0" fillId="0" borderId="0" xfId="18" applyFont="1" applyFill="1" applyAlignment="1">
      <alignment/>
    </xf>
    <xf numFmtId="164" fontId="0" fillId="0" borderId="0" xfId="18" applyNumberFormat="1" applyFont="1" applyAlignment="1">
      <alignment horizontal="center"/>
    </xf>
    <xf numFmtId="195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 horizontal="center"/>
    </xf>
    <xf numFmtId="9" fontId="0" fillId="0" borderId="0" xfId="24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24" applyNumberFormat="1" applyFont="1" applyAlignment="1">
      <alignment/>
    </xf>
    <xf numFmtId="0" fontId="0" fillId="0" borderId="0" xfId="0" applyFont="1" applyAlignment="1">
      <alignment/>
    </xf>
    <xf numFmtId="0" fontId="0" fillId="0" borderId="0" xfId="15" applyNumberFormat="1" applyFont="1" applyAlignment="1">
      <alignment horizontal="center"/>
    </xf>
    <xf numFmtId="10" fontId="0" fillId="0" borderId="0" xfId="0" applyNumberFormat="1" applyFont="1" applyAlignment="1">
      <alignment/>
    </xf>
    <xf numFmtId="5" fontId="8" fillId="0" borderId="0" xfId="20" applyNumberFormat="1" applyFont="1" applyAlignment="1">
      <alignment/>
    </xf>
    <xf numFmtId="9" fontId="8" fillId="0" borderId="0" xfId="24" applyFont="1" applyAlignment="1">
      <alignment/>
    </xf>
    <xf numFmtId="9" fontId="8" fillId="0" borderId="0" xfId="24" applyNumberFormat="1" applyFont="1" applyAlignment="1">
      <alignment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23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1">
    <cellStyle name="Normal" xfId="0"/>
    <cellStyle name="Comma" xfId="15"/>
    <cellStyle name="Comma [0]" xfId="16"/>
    <cellStyle name="Comma_KCH COS Exhibits 9.9.04" xfId="17"/>
    <cellStyle name="Currency" xfId="18"/>
    <cellStyle name="Currency [0]" xfId="19"/>
    <cellStyle name="Currency_KCH COS Exhibits 9.9.04" xfId="20"/>
    <cellStyle name="Followed Hyperlink" xfId="21"/>
    <cellStyle name="Hyperlink" xfId="22"/>
    <cellStyle name="Normal_KCH COS Exhibits 9.9.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SE's%20Response%20to%20Kroger%20Data%20Request%20No.%2001.01\Attachment%20B%20to%20Kroger%200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"/>
      <sheetName val="Summary 2"/>
      <sheetName val="Energy Costs"/>
      <sheetName val="Demand Costs"/>
      <sheetName val="Customer Costs"/>
      <sheetName val="Operating Revenue"/>
      <sheetName val="Operating Expense"/>
      <sheetName val="Electric Plant In Service"/>
      <sheetName val="Salary &amp; Wage"/>
      <sheetName val="Customer Charge"/>
      <sheetName val="Cust Charge - Commission Basis"/>
      <sheetName val="Unbundled Co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2.00390625" style="0" bestFit="1" customWidth="1"/>
    <col min="3" max="3" width="11.140625" style="0" bestFit="1" customWidth="1"/>
    <col min="4" max="4" width="15.00390625" style="0" bestFit="1" customWidth="1"/>
    <col min="5" max="5" width="13.8515625" style="0" bestFit="1" customWidth="1"/>
    <col min="6" max="6" width="9.8515625" style="0" customWidth="1"/>
    <col min="7" max="7" width="9.421875" style="0" bestFit="1" customWidth="1"/>
    <col min="8" max="8" width="9.421875" style="0" customWidth="1"/>
    <col min="9" max="9" width="10.8515625" style="0" bestFit="1" customWidth="1"/>
    <col min="10" max="10" width="8.57421875" style="0" bestFit="1" customWidth="1"/>
    <col min="12" max="12" width="9.28125" style="0" bestFit="1" customWidth="1"/>
  </cols>
  <sheetData>
    <row r="1" ht="12.75">
      <c r="A1" s="2" t="s">
        <v>101</v>
      </c>
    </row>
    <row r="2" ht="12.75">
      <c r="I2" s="1" t="s">
        <v>102</v>
      </c>
    </row>
    <row r="3" spans="2:12" ht="14.25"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</v>
      </c>
      <c r="H3" s="1" t="s">
        <v>108</v>
      </c>
      <c r="I3" s="1" t="s">
        <v>108</v>
      </c>
      <c r="J3" s="1" t="s">
        <v>109</v>
      </c>
      <c r="L3" s="1"/>
    </row>
    <row r="4" spans="1:12" ht="12.75">
      <c r="A4" s="1" t="s">
        <v>110</v>
      </c>
      <c r="B4" s="1" t="s">
        <v>111</v>
      </c>
      <c r="C4" s="1" t="s">
        <v>112</v>
      </c>
      <c r="D4" s="1" t="s">
        <v>112</v>
      </c>
      <c r="E4" s="1" t="s">
        <v>112</v>
      </c>
      <c r="F4" s="1" t="s">
        <v>113</v>
      </c>
      <c r="G4" s="1" t="s">
        <v>112</v>
      </c>
      <c r="H4" s="1" t="s">
        <v>112</v>
      </c>
      <c r="I4" s="1" t="s">
        <v>112</v>
      </c>
      <c r="J4" s="1" t="s">
        <v>114</v>
      </c>
      <c r="L4" s="1"/>
    </row>
    <row r="5" spans="1:10" ht="12.75">
      <c r="A5" s="66">
        <v>2004</v>
      </c>
      <c r="B5" s="67">
        <f>+ROUND(((B40*B43)*1000)/(8760*B44),2)</f>
        <v>8.91</v>
      </c>
      <c r="C5" s="68">
        <f>+ROUND(((C40*1000)/(8760*B44)),2)</f>
        <v>5.7</v>
      </c>
      <c r="D5" s="68">
        <f>+ROUND(((D40*1000)/(8760*B44)),2)</f>
        <v>1.2</v>
      </c>
      <c r="E5" s="68">
        <f>+ROUND(E40,2)</f>
        <v>2</v>
      </c>
      <c r="F5" s="106">
        <v>3.86</v>
      </c>
      <c r="G5" s="68">
        <f aca="true" t="shared" si="0" ref="G5:G34">+F5*($G$40/1000000)*1000</f>
        <v>26.633999999999997</v>
      </c>
      <c r="H5" s="68">
        <f aca="true" t="shared" si="1" ref="H5:H34">+G5+E5+D5+C5+B5</f>
        <v>44.444</v>
      </c>
      <c r="I5" s="110">
        <v>44.44</v>
      </c>
      <c r="J5" s="108">
        <v>0</v>
      </c>
    </row>
    <row r="6" spans="1:12" ht="12.75">
      <c r="A6" s="66">
        <v>2005</v>
      </c>
      <c r="B6" s="67">
        <f aca="true" t="shared" si="2" ref="B6:B34">+B5</f>
        <v>8.91</v>
      </c>
      <c r="C6" s="67">
        <f aca="true" t="shared" si="3" ref="C6:C34">+ROUND(C5*(1+J6),2)</f>
        <v>5.84</v>
      </c>
      <c r="D6" s="67">
        <f aca="true" t="shared" si="4" ref="D6:D34">+ROUND(D5*(1+J6),2)</f>
        <v>1.23</v>
      </c>
      <c r="E6" s="67">
        <f aca="true" t="shared" si="5" ref="E6:E34">+ROUND(E5*(1+J6),2)</f>
        <v>2.05</v>
      </c>
      <c r="F6" s="112">
        <v>4.463966666666666</v>
      </c>
      <c r="G6" s="111">
        <f t="shared" si="0"/>
        <v>30.801369999999995</v>
      </c>
      <c r="H6" s="68">
        <f t="shared" si="1"/>
        <v>48.83136999999999</v>
      </c>
      <c r="I6" s="110">
        <v>44.66</v>
      </c>
      <c r="J6" s="109">
        <v>0.025</v>
      </c>
      <c r="L6" s="72"/>
    </row>
    <row r="7" spans="1:12" ht="12.75">
      <c r="A7" s="66">
        <v>2006</v>
      </c>
      <c r="B7" s="67">
        <f t="shared" si="2"/>
        <v>8.91</v>
      </c>
      <c r="C7" s="67">
        <f t="shared" si="3"/>
        <v>5.99</v>
      </c>
      <c r="D7" s="67">
        <f t="shared" si="4"/>
        <v>1.26</v>
      </c>
      <c r="E7" s="67">
        <f t="shared" si="5"/>
        <v>2.1</v>
      </c>
      <c r="F7" s="112">
        <v>4.628333333333333</v>
      </c>
      <c r="G7" s="111">
        <f t="shared" si="0"/>
        <v>31.935499999999998</v>
      </c>
      <c r="H7" s="68">
        <f t="shared" si="1"/>
        <v>50.195499999999996</v>
      </c>
      <c r="I7" s="110">
        <v>49.06</v>
      </c>
      <c r="J7" s="109">
        <v>0.025</v>
      </c>
      <c r="L7" s="72"/>
    </row>
    <row r="8" spans="1:12" ht="12.75">
      <c r="A8" s="66">
        <v>2007</v>
      </c>
      <c r="B8" s="67">
        <f t="shared" si="2"/>
        <v>8.91</v>
      </c>
      <c r="C8" s="67">
        <f t="shared" si="3"/>
        <v>6.14</v>
      </c>
      <c r="D8" s="67">
        <f t="shared" si="4"/>
        <v>1.29</v>
      </c>
      <c r="E8" s="67">
        <f t="shared" si="5"/>
        <v>2.15</v>
      </c>
      <c r="F8" s="106">
        <v>4.5475</v>
      </c>
      <c r="G8" s="111">
        <f t="shared" si="0"/>
        <v>31.377750000000002</v>
      </c>
      <c r="H8" s="68">
        <f t="shared" si="1"/>
        <v>49.86775</v>
      </c>
      <c r="I8" s="110">
        <v>50.43</v>
      </c>
      <c r="J8" s="109">
        <v>0.025</v>
      </c>
      <c r="L8" s="72"/>
    </row>
    <row r="9" spans="1:12" ht="12.75">
      <c r="A9" s="66">
        <v>2008</v>
      </c>
      <c r="B9" s="67">
        <f t="shared" si="2"/>
        <v>8.91</v>
      </c>
      <c r="C9" s="67">
        <f t="shared" si="3"/>
        <v>6.29</v>
      </c>
      <c r="D9" s="67">
        <f t="shared" si="4"/>
        <v>1.32</v>
      </c>
      <c r="E9" s="67">
        <f t="shared" si="5"/>
        <v>2.2</v>
      </c>
      <c r="F9" s="106">
        <v>4.544166666666667</v>
      </c>
      <c r="G9" s="111">
        <f t="shared" si="0"/>
        <v>31.354750000000006</v>
      </c>
      <c r="H9" s="68">
        <f t="shared" si="1"/>
        <v>50.07475000000001</v>
      </c>
      <c r="I9" s="110">
        <v>50.1</v>
      </c>
      <c r="J9" s="109">
        <v>0.025</v>
      </c>
      <c r="L9" s="72"/>
    </row>
    <row r="10" spans="1:12" ht="12.75">
      <c r="A10" s="66">
        <v>2009</v>
      </c>
      <c r="B10" s="67">
        <f t="shared" si="2"/>
        <v>8.91</v>
      </c>
      <c r="C10" s="67">
        <f t="shared" si="3"/>
        <v>6.45</v>
      </c>
      <c r="D10" s="67">
        <f t="shared" si="4"/>
        <v>1.35</v>
      </c>
      <c r="E10" s="67">
        <f t="shared" si="5"/>
        <v>2.26</v>
      </c>
      <c r="F10" s="106">
        <v>3.5775</v>
      </c>
      <c r="G10" s="111">
        <f t="shared" si="0"/>
        <v>24.68475</v>
      </c>
      <c r="H10" s="68">
        <f t="shared" si="1"/>
        <v>43.65475000000001</v>
      </c>
      <c r="I10" s="110">
        <v>50.32</v>
      </c>
      <c r="J10" s="109">
        <v>0.025</v>
      </c>
      <c r="L10" s="72"/>
    </row>
    <row r="11" spans="1:12" ht="12.75">
      <c r="A11" s="66">
        <v>2010</v>
      </c>
      <c r="B11" s="67">
        <f t="shared" si="2"/>
        <v>8.91</v>
      </c>
      <c r="C11" s="67">
        <f t="shared" si="3"/>
        <v>6.61</v>
      </c>
      <c r="D11" s="67">
        <f t="shared" si="4"/>
        <v>1.38</v>
      </c>
      <c r="E11" s="67">
        <f t="shared" si="5"/>
        <v>2.32</v>
      </c>
      <c r="F11" s="106">
        <v>3.5066666666666664</v>
      </c>
      <c r="G11" s="111">
        <f t="shared" si="0"/>
        <v>24.195999999999998</v>
      </c>
      <c r="H11" s="68">
        <f t="shared" si="1"/>
        <v>43.416</v>
      </c>
      <c r="I11" s="110">
        <v>43.9</v>
      </c>
      <c r="J11" s="109">
        <v>0.025</v>
      </c>
      <c r="L11" s="72"/>
    </row>
    <row r="12" spans="1:12" ht="12.75">
      <c r="A12" s="66">
        <v>2011</v>
      </c>
      <c r="B12" s="67">
        <f t="shared" si="2"/>
        <v>8.91</v>
      </c>
      <c r="C12" s="67">
        <f t="shared" si="3"/>
        <v>6.78</v>
      </c>
      <c r="D12" s="67">
        <f t="shared" si="4"/>
        <v>1.41</v>
      </c>
      <c r="E12" s="67">
        <f t="shared" si="5"/>
        <v>2.38</v>
      </c>
      <c r="F12" s="106">
        <v>4.5525</v>
      </c>
      <c r="G12" s="111">
        <f t="shared" si="0"/>
        <v>31.412250000000004</v>
      </c>
      <c r="H12" s="68">
        <f t="shared" si="1"/>
        <v>50.892250000000004</v>
      </c>
      <c r="I12" s="110">
        <v>43.68</v>
      </c>
      <c r="J12" s="109">
        <v>0.025</v>
      </c>
      <c r="L12" s="72"/>
    </row>
    <row r="13" spans="1:12" ht="12.75">
      <c r="A13" s="66">
        <v>2012</v>
      </c>
      <c r="B13" s="67">
        <f t="shared" si="2"/>
        <v>8.91</v>
      </c>
      <c r="C13" s="67">
        <f t="shared" si="3"/>
        <v>6.95</v>
      </c>
      <c r="D13" s="67">
        <f t="shared" si="4"/>
        <v>1.45</v>
      </c>
      <c r="E13" s="67">
        <f t="shared" si="5"/>
        <v>2.44</v>
      </c>
      <c r="F13" s="106">
        <v>5.1825</v>
      </c>
      <c r="G13" s="111">
        <f t="shared" si="0"/>
        <v>35.75925</v>
      </c>
      <c r="H13" s="68">
        <f t="shared" si="1"/>
        <v>55.50925000000001</v>
      </c>
      <c r="I13" s="110">
        <v>51.16</v>
      </c>
      <c r="J13" s="109">
        <v>0.025</v>
      </c>
      <c r="L13" s="72"/>
    </row>
    <row r="14" spans="1:12" ht="12.75">
      <c r="A14" s="66">
        <v>2013</v>
      </c>
      <c r="B14" s="67">
        <f t="shared" si="2"/>
        <v>8.91</v>
      </c>
      <c r="C14" s="67">
        <f t="shared" si="3"/>
        <v>7.12</v>
      </c>
      <c r="D14" s="67">
        <f t="shared" si="4"/>
        <v>1.49</v>
      </c>
      <c r="E14" s="67">
        <f t="shared" si="5"/>
        <v>2.5</v>
      </c>
      <c r="F14" s="106">
        <v>5.486666666666667</v>
      </c>
      <c r="G14" s="111">
        <f t="shared" si="0"/>
        <v>37.858000000000004</v>
      </c>
      <c r="H14" s="68">
        <f t="shared" si="1"/>
        <v>57.878</v>
      </c>
      <c r="I14" s="110">
        <v>55.78</v>
      </c>
      <c r="J14" s="109">
        <v>0.025</v>
      </c>
      <c r="L14" s="72"/>
    </row>
    <row r="15" spans="1:12" ht="12.75">
      <c r="A15" s="66">
        <v>2014</v>
      </c>
      <c r="B15" s="67">
        <f t="shared" si="2"/>
        <v>8.91</v>
      </c>
      <c r="C15" s="67">
        <f t="shared" si="3"/>
        <v>7.3</v>
      </c>
      <c r="D15" s="67">
        <f t="shared" si="4"/>
        <v>1.53</v>
      </c>
      <c r="E15" s="67">
        <f t="shared" si="5"/>
        <v>2.56</v>
      </c>
      <c r="F15" s="106">
        <v>5.944166666666667</v>
      </c>
      <c r="G15" s="111">
        <f t="shared" si="0"/>
        <v>41.01475</v>
      </c>
      <c r="H15" s="68">
        <f t="shared" si="1"/>
        <v>61.314750000000004</v>
      </c>
      <c r="I15" s="110">
        <v>58.16</v>
      </c>
      <c r="J15" s="109">
        <v>0.025</v>
      </c>
      <c r="L15" s="72"/>
    </row>
    <row r="16" spans="1:12" ht="12.75">
      <c r="A16" s="66">
        <v>2015</v>
      </c>
      <c r="B16" s="67">
        <f t="shared" si="2"/>
        <v>8.91</v>
      </c>
      <c r="C16" s="67">
        <f t="shared" si="3"/>
        <v>7.48</v>
      </c>
      <c r="D16" s="67">
        <f t="shared" si="4"/>
        <v>1.57</v>
      </c>
      <c r="E16" s="67">
        <f t="shared" si="5"/>
        <v>2.62</v>
      </c>
      <c r="F16" s="106">
        <v>5.743333333333332</v>
      </c>
      <c r="G16" s="111">
        <f t="shared" si="0"/>
        <v>39.62899999999999</v>
      </c>
      <c r="H16" s="68">
        <f t="shared" si="1"/>
        <v>60.20899999999999</v>
      </c>
      <c r="I16" s="110">
        <v>61.59</v>
      </c>
      <c r="J16" s="109">
        <v>0.025</v>
      </c>
      <c r="L16" s="72"/>
    </row>
    <row r="17" spans="1:12" ht="12.75">
      <c r="A17" s="66">
        <v>2016</v>
      </c>
      <c r="B17" s="67">
        <f t="shared" si="2"/>
        <v>8.91</v>
      </c>
      <c r="C17" s="67">
        <f t="shared" si="3"/>
        <v>7.67</v>
      </c>
      <c r="D17" s="67">
        <f t="shared" si="4"/>
        <v>1.61</v>
      </c>
      <c r="E17" s="67">
        <f t="shared" si="5"/>
        <v>2.69</v>
      </c>
      <c r="F17" s="106">
        <v>5.315</v>
      </c>
      <c r="G17" s="111">
        <f t="shared" si="0"/>
        <v>36.673500000000004</v>
      </c>
      <c r="H17" s="68">
        <f t="shared" si="1"/>
        <v>57.5535</v>
      </c>
      <c r="I17" s="110">
        <v>60.51</v>
      </c>
      <c r="J17" s="109">
        <v>0.025</v>
      </c>
      <c r="L17" s="72"/>
    </row>
    <row r="18" spans="1:12" ht="12.75">
      <c r="A18" s="66">
        <v>2017</v>
      </c>
      <c r="B18" s="67">
        <f t="shared" si="2"/>
        <v>8.91</v>
      </c>
      <c r="C18" s="67">
        <f t="shared" si="3"/>
        <v>7.86</v>
      </c>
      <c r="D18" s="67">
        <f t="shared" si="4"/>
        <v>1.65</v>
      </c>
      <c r="E18" s="67">
        <f t="shared" si="5"/>
        <v>2.76</v>
      </c>
      <c r="F18" s="106">
        <v>5.921666666666667</v>
      </c>
      <c r="G18" s="111">
        <f t="shared" si="0"/>
        <v>40.8595</v>
      </c>
      <c r="H18" s="68">
        <f t="shared" si="1"/>
        <v>62.03949999999999</v>
      </c>
      <c r="I18" s="110">
        <v>57.85</v>
      </c>
      <c r="J18" s="109">
        <v>0.025</v>
      </c>
      <c r="L18" s="72"/>
    </row>
    <row r="19" spans="1:12" ht="12.75">
      <c r="A19" s="66">
        <v>2018</v>
      </c>
      <c r="B19" s="67">
        <f t="shared" si="2"/>
        <v>8.91</v>
      </c>
      <c r="C19" s="67">
        <f t="shared" si="3"/>
        <v>8.06</v>
      </c>
      <c r="D19" s="67">
        <f t="shared" si="4"/>
        <v>1.69</v>
      </c>
      <c r="E19" s="67">
        <f t="shared" si="5"/>
        <v>2.83</v>
      </c>
      <c r="F19" s="106">
        <v>5.954166666666666</v>
      </c>
      <c r="G19" s="111">
        <f t="shared" si="0"/>
        <v>41.083749999999995</v>
      </c>
      <c r="H19" s="68">
        <f t="shared" si="1"/>
        <v>62.57374999999999</v>
      </c>
      <c r="I19" s="110">
        <v>62.35</v>
      </c>
      <c r="J19" s="109">
        <v>0.025</v>
      </c>
      <c r="L19" s="72"/>
    </row>
    <row r="20" spans="1:12" ht="12.75">
      <c r="A20" s="66">
        <v>2019</v>
      </c>
      <c r="B20" s="67">
        <f t="shared" si="2"/>
        <v>8.91</v>
      </c>
      <c r="C20" s="67">
        <f t="shared" si="3"/>
        <v>8.26</v>
      </c>
      <c r="D20" s="67">
        <f t="shared" si="4"/>
        <v>1.73</v>
      </c>
      <c r="E20" s="67">
        <f t="shared" si="5"/>
        <v>2.9</v>
      </c>
      <c r="F20" s="106">
        <v>6.213333333333334</v>
      </c>
      <c r="G20" s="111">
        <f t="shared" si="0"/>
        <v>42.872</v>
      </c>
      <c r="H20" s="68">
        <f t="shared" si="1"/>
        <v>64.672</v>
      </c>
      <c r="I20" s="110">
        <v>62.88</v>
      </c>
      <c r="J20" s="109">
        <v>0.025</v>
      </c>
      <c r="L20" s="72"/>
    </row>
    <row r="21" spans="1:12" ht="12.75">
      <c r="A21" s="66">
        <v>2020</v>
      </c>
      <c r="B21" s="67">
        <f t="shared" si="2"/>
        <v>8.91</v>
      </c>
      <c r="C21" s="67">
        <f t="shared" si="3"/>
        <v>8.47</v>
      </c>
      <c r="D21" s="67">
        <f t="shared" si="4"/>
        <v>1.77</v>
      </c>
      <c r="E21" s="67">
        <f t="shared" si="5"/>
        <v>2.97</v>
      </c>
      <c r="F21" s="106">
        <v>6.2575</v>
      </c>
      <c r="G21" s="111">
        <f t="shared" si="0"/>
        <v>43.17675</v>
      </c>
      <c r="H21" s="68">
        <f t="shared" si="1"/>
        <v>65.29675</v>
      </c>
      <c r="I21" s="110">
        <v>64.99</v>
      </c>
      <c r="J21" s="109">
        <v>0.025</v>
      </c>
      <c r="L21" s="72"/>
    </row>
    <row r="22" spans="1:12" ht="12.75">
      <c r="A22" s="66">
        <v>2021</v>
      </c>
      <c r="B22" s="67">
        <f t="shared" si="2"/>
        <v>8.91</v>
      </c>
      <c r="C22" s="67">
        <f t="shared" si="3"/>
        <v>8.68</v>
      </c>
      <c r="D22" s="67">
        <f t="shared" si="4"/>
        <v>1.81</v>
      </c>
      <c r="E22" s="67">
        <f t="shared" si="5"/>
        <v>3.04</v>
      </c>
      <c r="F22" s="106">
        <v>6.467320303136634</v>
      </c>
      <c r="G22" s="111">
        <f t="shared" si="0"/>
        <v>44.624510091642776</v>
      </c>
      <c r="H22" s="68">
        <f t="shared" si="1"/>
        <v>67.06451009164277</v>
      </c>
      <c r="I22" s="110">
        <v>65.62</v>
      </c>
      <c r="J22" s="109">
        <v>0.025</v>
      </c>
      <c r="L22" s="72"/>
    </row>
    <row r="23" spans="1:12" ht="12.75">
      <c r="A23" s="66">
        <v>2022</v>
      </c>
      <c r="B23" s="67">
        <f t="shared" si="2"/>
        <v>8.91</v>
      </c>
      <c r="C23" s="67">
        <f t="shared" si="3"/>
        <v>8.9</v>
      </c>
      <c r="D23" s="67">
        <f t="shared" si="4"/>
        <v>1.86</v>
      </c>
      <c r="E23" s="67">
        <f t="shared" si="5"/>
        <v>3.12</v>
      </c>
      <c r="F23" s="106">
        <v>6.62900331071505</v>
      </c>
      <c r="G23" s="111">
        <f t="shared" si="0"/>
        <v>45.74012284393385</v>
      </c>
      <c r="H23" s="68">
        <f t="shared" si="1"/>
        <v>68.53012284393384</v>
      </c>
      <c r="I23" s="110">
        <v>67.41</v>
      </c>
      <c r="J23" s="109">
        <v>0.025</v>
      </c>
      <c r="L23" s="72"/>
    </row>
    <row r="24" spans="1:12" ht="12.75">
      <c r="A24" s="66">
        <v>2023</v>
      </c>
      <c r="B24" s="67">
        <f t="shared" si="2"/>
        <v>8.91</v>
      </c>
      <c r="C24" s="67">
        <f t="shared" si="3"/>
        <v>9.12</v>
      </c>
      <c r="D24" s="67">
        <f t="shared" si="4"/>
        <v>1.91</v>
      </c>
      <c r="E24" s="67">
        <f t="shared" si="5"/>
        <v>3.2</v>
      </c>
      <c r="F24" s="106">
        <v>6.794728393482925</v>
      </c>
      <c r="G24" s="111">
        <f t="shared" si="0"/>
        <v>46.883625915032184</v>
      </c>
      <c r="H24" s="68">
        <f t="shared" si="1"/>
        <v>70.02362591503218</v>
      </c>
      <c r="I24" s="110">
        <v>68.88</v>
      </c>
      <c r="J24" s="109">
        <v>0.025</v>
      </c>
      <c r="L24" s="72"/>
    </row>
    <row r="25" spans="1:12" ht="12.75">
      <c r="A25" s="66">
        <v>2024</v>
      </c>
      <c r="B25" s="67">
        <f t="shared" si="2"/>
        <v>8.91</v>
      </c>
      <c r="C25" s="67">
        <f t="shared" si="3"/>
        <v>9.35</v>
      </c>
      <c r="D25" s="67">
        <f t="shared" si="4"/>
        <v>1.96</v>
      </c>
      <c r="E25" s="67">
        <f t="shared" si="5"/>
        <v>3.28</v>
      </c>
      <c r="F25" s="106">
        <v>6.9645966033199995</v>
      </c>
      <c r="G25" s="111">
        <f t="shared" si="0"/>
        <v>48.055716562907996</v>
      </c>
      <c r="H25" s="68">
        <f t="shared" si="1"/>
        <v>71.555716562908</v>
      </c>
      <c r="I25" s="110">
        <v>70.38</v>
      </c>
      <c r="J25" s="109">
        <v>0.025</v>
      </c>
      <c r="L25" s="72"/>
    </row>
    <row r="26" spans="1:12" ht="12.75">
      <c r="A26" s="66">
        <v>2025</v>
      </c>
      <c r="B26" s="67">
        <f t="shared" si="2"/>
        <v>8.91</v>
      </c>
      <c r="C26" s="67">
        <f t="shared" si="3"/>
        <v>9.58</v>
      </c>
      <c r="D26" s="67">
        <f t="shared" si="4"/>
        <v>2.01</v>
      </c>
      <c r="E26" s="67">
        <f t="shared" si="5"/>
        <v>3.36</v>
      </c>
      <c r="F26" s="106">
        <v>7.138711518402997</v>
      </c>
      <c r="G26" s="111">
        <f t="shared" si="0"/>
        <v>49.25710947698068</v>
      </c>
      <c r="H26" s="68">
        <f t="shared" si="1"/>
        <v>73.11710947698067</v>
      </c>
      <c r="I26" s="110">
        <v>71.92</v>
      </c>
      <c r="J26" s="109">
        <v>0.025</v>
      </c>
      <c r="L26" s="72"/>
    </row>
    <row r="27" spans="1:12" ht="12.75">
      <c r="A27" s="66">
        <v>2026</v>
      </c>
      <c r="B27" s="67">
        <f t="shared" si="2"/>
        <v>8.91</v>
      </c>
      <c r="C27" s="67">
        <f t="shared" si="3"/>
        <v>9.82</v>
      </c>
      <c r="D27" s="67">
        <f t="shared" si="4"/>
        <v>2.06</v>
      </c>
      <c r="E27" s="67">
        <f t="shared" si="5"/>
        <v>3.44</v>
      </c>
      <c r="F27" s="106">
        <v>7.317179306363072</v>
      </c>
      <c r="G27" s="111">
        <f t="shared" si="0"/>
        <v>50.4885372139052</v>
      </c>
      <c r="H27" s="68">
        <f t="shared" si="1"/>
        <v>74.7185372139052</v>
      </c>
      <c r="I27" s="110">
        <v>73.49</v>
      </c>
      <c r="J27" s="109">
        <v>0.025</v>
      </c>
      <c r="L27" s="72"/>
    </row>
    <row r="28" spans="1:12" ht="12.75">
      <c r="A28" s="66">
        <v>2027</v>
      </c>
      <c r="B28" s="67">
        <f t="shared" si="2"/>
        <v>8.91</v>
      </c>
      <c r="C28" s="67">
        <f t="shared" si="3"/>
        <v>10.07</v>
      </c>
      <c r="D28" s="67">
        <f t="shared" si="4"/>
        <v>2.11</v>
      </c>
      <c r="E28" s="67">
        <f t="shared" si="5"/>
        <v>3.53</v>
      </c>
      <c r="F28" s="106">
        <v>7.500108789022149</v>
      </c>
      <c r="G28" s="111">
        <f t="shared" si="0"/>
        <v>51.75075064425283</v>
      </c>
      <c r="H28" s="68">
        <f t="shared" si="1"/>
        <v>76.37075064425284</v>
      </c>
      <c r="I28" s="110">
        <v>75.11</v>
      </c>
      <c r="J28" s="109">
        <v>0.025</v>
      </c>
      <c r="L28" s="72"/>
    </row>
    <row r="29" spans="1:12" ht="12.75">
      <c r="A29" s="66">
        <v>2028</v>
      </c>
      <c r="B29" s="67">
        <f t="shared" si="2"/>
        <v>8.91</v>
      </c>
      <c r="C29" s="67">
        <f t="shared" si="3"/>
        <v>10.32</v>
      </c>
      <c r="D29" s="67">
        <f t="shared" si="4"/>
        <v>2.16</v>
      </c>
      <c r="E29" s="67">
        <f t="shared" si="5"/>
        <v>3.62</v>
      </c>
      <c r="F29" s="106">
        <v>7.687611508747698</v>
      </c>
      <c r="G29" s="111">
        <f t="shared" si="0"/>
        <v>53.044519410359115</v>
      </c>
      <c r="H29" s="68">
        <f t="shared" si="1"/>
        <v>78.05451941035912</v>
      </c>
      <c r="I29" s="110">
        <v>76.76</v>
      </c>
      <c r="J29" s="109">
        <v>0.025</v>
      </c>
      <c r="L29" s="72"/>
    </row>
    <row r="30" spans="1:12" ht="12.75">
      <c r="A30" s="66">
        <v>2029</v>
      </c>
      <c r="B30" s="67">
        <f t="shared" si="2"/>
        <v>8.91</v>
      </c>
      <c r="C30" s="67">
        <f t="shared" si="3"/>
        <v>10.58</v>
      </c>
      <c r="D30" s="67">
        <f t="shared" si="4"/>
        <v>2.21</v>
      </c>
      <c r="E30" s="67">
        <f t="shared" si="5"/>
        <v>3.71</v>
      </c>
      <c r="F30" s="106">
        <v>7.841363738922651</v>
      </c>
      <c r="G30" s="111">
        <f t="shared" si="0"/>
        <v>54.1054097985663</v>
      </c>
      <c r="H30" s="68">
        <f t="shared" si="1"/>
        <v>79.5154097985663</v>
      </c>
      <c r="I30" s="110">
        <v>78.45</v>
      </c>
      <c r="J30" s="109">
        <v>0.025</v>
      </c>
      <c r="L30" s="72"/>
    </row>
    <row r="31" spans="1:12" ht="12.75">
      <c r="A31" s="66">
        <v>2030</v>
      </c>
      <c r="B31" s="67">
        <f t="shared" si="2"/>
        <v>8.91</v>
      </c>
      <c r="C31" s="67">
        <f t="shared" si="3"/>
        <v>10.84</v>
      </c>
      <c r="D31" s="67">
        <f t="shared" si="4"/>
        <v>2.27</v>
      </c>
      <c r="E31" s="67">
        <f t="shared" si="5"/>
        <v>3.8</v>
      </c>
      <c r="F31" s="106">
        <v>7.9981910137011045</v>
      </c>
      <c r="G31" s="111">
        <f t="shared" si="0"/>
        <v>55.187517994537615</v>
      </c>
      <c r="H31" s="68">
        <f t="shared" si="1"/>
        <v>81.00751799453761</v>
      </c>
      <c r="I31" s="110">
        <v>79.93</v>
      </c>
      <c r="J31" s="109">
        <v>0.025</v>
      </c>
      <c r="L31" s="72"/>
    </row>
    <row r="32" spans="1:12" ht="12.75">
      <c r="A32" s="66">
        <v>2031</v>
      </c>
      <c r="B32" s="67">
        <f t="shared" si="2"/>
        <v>8.91</v>
      </c>
      <c r="C32" s="67">
        <f t="shared" si="3"/>
        <v>11.11</v>
      </c>
      <c r="D32" s="67">
        <f t="shared" si="4"/>
        <v>2.33</v>
      </c>
      <c r="E32" s="67">
        <f t="shared" si="5"/>
        <v>3.9</v>
      </c>
      <c r="F32" s="106">
        <v>8.158154833975127</v>
      </c>
      <c r="G32" s="111">
        <f t="shared" si="0"/>
        <v>56.291268354428375</v>
      </c>
      <c r="H32" s="68">
        <f t="shared" si="1"/>
        <v>82.54126835442837</v>
      </c>
      <c r="I32" s="110">
        <v>81.44</v>
      </c>
      <c r="J32" s="109">
        <v>0.025</v>
      </c>
      <c r="L32" s="72"/>
    </row>
    <row r="33" spans="1:12" ht="12.75">
      <c r="A33" s="66">
        <v>2032</v>
      </c>
      <c r="B33" s="67">
        <f t="shared" si="2"/>
        <v>8.91</v>
      </c>
      <c r="C33" s="67">
        <f t="shared" si="3"/>
        <v>11.39</v>
      </c>
      <c r="D33" s="67">
        <f t="shared" si="4"/>
        <v>2.39</v>
      </c>
      <c r="E33" s="67">
        <f t="shared" si="5"/>
        <v>4</v>
      </c>
      <c r="F33" s="112">
        <v>8.32131793065463</v>
      </c>
      <c r="G33" s="111">
        <f t="shared" si="0"/>
        <v>57.41709372151694</v>
      </c>
      <c r="H33" s="68">
        <f t="shared" si="1"/>
        <v>84.10709372151695</v>
      </c>
      <c r="I33" s="110">
        <v>82.98</v>
      </c>
      <c r="J33" s="109">
        <v>0.025</v>
      </c>
      <c r="L33" s="72"/>
    </row>
    <row r="34" spans="1:12" ht="12.75">
      <c r="A34" s="66">
        <v>2033</v>
      </c>
      <c r="B34" s="67">
        <f t="shared" si="2"/>
        <v>8.91</v>
      </c>
      <c r="C34" s="67">
        <f t="shared" si="3"/>
        <v>11.67</v>
      </c>
      <c r="D34" s="67">
        <f t="shared" si="4"/>
        <v>2.45</v>
      </c>
      <c r="E34" s="67">
        <f t="shared" si="5"/>
        <v>4.1</v>
      </c>
      <c r="F34" s="112">
        <v>8.487744289267722</v>
      </c>
      <c r="G34" s="111">
        <f t="shared" si="0"/>
        <v>58.565435595947285</v>
      </c>
      <c r="H34" s="68">
        <f t="shared" si="1"/>
        <v>85.69543559594729</v>
      </c>
      <c r="I34" s="110">
        <v>84.55</v>
      </c>
      <c r="J34" s="109">
        <v>0.025</v>
      </c>
      <c r="L34" s="72"/>
    </row>
    <row r="35" spans="1:10" ht="12.75">
      <c r="A35" s="66"/>
      <c r="J35" s="49"/>
    </row>
    <row r="36" spans="1:12" ht="25.5" customHeight="1">
      <c r="A36" s="138" t="s">
        <v>192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0" ht="12.75">
      <c r="A37" s="66"/>
      <c r="J37" s="49"/>
    </row>
    <row r="38" spans="2:12" ht="12.75">
      <c r="B38" s="1" t="s">
        <v>115</v>
      </c>
      <c r="C38" s="1" t="s">
        <v>104</v>
      </c>
      <c r="D38" s="1" t="s">
        <v>105</v>
      </c>
      <c r="E38" s="1" t="s">
        <v>116</v>
      </c>
      <c r="F38" s="1"/>
      <c r="G38" s="1" t="s">
        <v>117</v>
      </c>
      <c r="L38" s="72"/>
    </row>
    <row r="39" spans="2:12" ht="12.75">
      <c r="B39" s="1" t="s">
        <v>118</v>
      </c>
      <c r="C39" s="1" t="s">
        <v>119</v>
      </c>
      <c r="D39" s="1" t="s">
        <v>119</v>
      </c>
      <c r="E39" s="1" t="s">
        <v>112</v>
      </c>
      <c r="F39" s="1"/>
      <c r="G39" s="1" t="s">
        <v>120</v>
      </c>
      <c r="L39" s="73"/>
    </row>
    <row r="40" spans="1:7" ht="12.75">
      <c r="A40" s="2" t="s">
        <v>121</v>
      </c>
      <c r="B40" s="126">
        <f>710*1.025</f>
        <v>727.7499999999999</v>
      </c>
      <c r="C40" s="106">
        <f>41.43*1.025</f>
        <v>42.46574999999999</v>
      </c>
      <c r="D40" s="107">
        <f>(0.011+0.0013)*B40</f>
        <v>8.951324999999997</v>
      </c>
      <c r="E40" s="127">
        <v>2</v>
      </c>
      <c r="F40" s="110"/>
      <c r="G40" s="128">
        <v>6900</v>
      </c>
    </row>
    <row r="41" spans="1:7" ht="12.75">
      <c r="A41" s="2" t="s">
        <v>122</v>
      </c>
      <c r="B41" s="126"/>
      <c r="C41" s="106"/>
      <c r="D41" s="107"/>
      <c r="E41" s="127"/>
      <c r="F41" s="110"/>
      <c r="G41" s="128"/>
    </row>
    <row r="42" spans="2:7" ht="12.75">
      <c r="B42" s="110"/>
      <c r="C42" s="110"/>
      <c r="D42" s="110"/>
      <c r="E42" s="110"/>
      <c r="F42" s="110"/>
      <c r="G42" s="110"/>
    </row>
    <row r="43" spans="1:7" ht="12.75">
      <c r="A43" s="2" t="s">
        <v>183</v>
      </c>
      <c r="B43" s="75">
        <f>+B45</f>
        <v>0.0911612</v>
      </c>
      <c r="C43" s="110"/>
      <c r="D43" s="110"/>
      <c r="E43" s="110"/>
      <c r="F43" s="110"/>
      <c r="G43" s="110"/>
    </row>
    <row r="44" spans="1:7" ht="12.75">
      <c r="A44" s="2" t="s">
        <v>123</v>
      </c>
      <c r="B44" s="129">
        <v>0.85</v>
      </c>
      <c r="C44" s="110"/>
      <c r="D44" s="110"/>
      <c r="E44" s="110"/>
      <c r="F44" s="110"/>
      <c r="G44" s="110"/>
    </row>
    <row r="45" spans="1:7" ht="12.75">
      <c r="A45" s="2" t="s">
        <v>124</v>
      </c>
      <c r="B45" s="75">
        <f>+D52</f>
        <v>0.0911612</v>
      </c>
      <c r="C45" s="110"/>
      <c r="D45" s="110"/>
      <c r="E45" s="110"/>
      <c r="F45" s="110"/>
      <c r="G45" s="110"/>
    </row>
    <row r="46" spans="2:7" ht="12.75">
      <c r="B46" s="110"/>
      <c r="C46" s="110"/>
      <c r="D46" s="110"/>
      <c r="E46" s="110"/>
      <c r="F46" s="110"/>
      <c r="G46" s="110"/>
    </row>
    <row r="47" spans="2:8" ht="12.75">
      <c r="B47" s="110"/>
      <c r="C47" s="110"/>
      <c r="D47" s="110"/>
      <c r="E47" s="110"/>
      <c r="F47" s="110"/>
      <c r="G47" s="110"/>
      <c r="H47" s="2" t="s">
        <v>125</v>
      </c>
    </row>
    <row r="48" spans="1:7" ht="12.75">
      <c r="A48" s="2" t="s">
        <v>126</v>
      </c>
      <c r="B48" s="110"/>
      <c r="C48" s="110"/>
      <c r="D48" s="110"/>
      <c r="E48" s="110"/>
      <c r="F48" s="110"/>
      <c r="G48" s="130"/>
    </row>
    <row r="49" spans="1:10" ht="12.75">
      <c r="A49" s="2" t="s">
        <v>127</v>
      </c>
      <c r="B49" s="81">
        <v>0.5496</v>
      </c>
      <c r="C49" s="81">
        <v>0.0696</v>
      </c>
      <c r="D49" s="81">
        <f>+B49*C49</f>
        <v>0.03825215999999999</v>
      </c>
      <c r="E49" s="110"/>
      <c r="F49" s="110"/>
      <c r="G49" s="110"/>
      <c r="H49" s="76">
        <f>-PMT($B$45,COUNT(A5:A34),(H5+NPV($B$45,H6:H34)))</f>
        <v>60.85174285810598</v>
      </c>
      <c r="I49" s="76">
        <f>-PMT($B$45,COUNT(A5:A34),(I5+NPV($B$45,I6:I34)))</f>
        <v>59.798782469606216</v>
      </c>
      <c r="J49" s="77" t="s">
        <v>128</v>
      </c>
    </row>
    <row r="50" spans="1:10" ht="12.75">
      <c r="A50" s="2" t="s">
        <v>129</v>
      </c>
      <c r="B50" s="81">
        <v>0.0004</v>
      </c>
      <c r="C50" s="81">
        <v>0.0851</v>
      </c>
      <c r="D50" s="81">
        <f>+B50*C50</f>
        <v>3.404E-05</v>
      </c>
      <c r="E50" s="110"/>
      <c r="F50" s="110"/>
      <c r="G50" s="110"/>
      <c r="H50" s="76">
        <f>+(H49*8760*B44)/1000</f>
        <v>453.10207732145705</v>
      </c>
      <c r="I50" s="76">
        <f>+(I49*8760*B44)/1000</f>
        <v>445.2617342686879</v>
      </c>
      <c r="J50" s="77" t="s">
        <v>130</v>
      </c>
    </row>
    <row r="51" spans="1:7" ht="12.75">
      <c r="A51" s="2" t="s">
        <v>131</v>
      </c>
      <c r="B51" s="82">
        <v>0.45</v>
      </c>
      <c r="C51" s="131">
        <v>0.1175</v>
      </c>
      <c r="D51" s="82">
        <f>+B51*C51</f>
        <v>0.052875</v>
      </c>
      <c r="E51" s="132"/>
      <c r="F51" s="132"/>
      <c r="G51" s="132"/>
    </row>
    <row r="52" spans="1:4" ht="12.75">
      <c r="A52" s="2" t="s">
        <v>108</v>
      </c>
      <c r="B52" s="78">
        <f>SUM(B49:B51)</f>
        <v>1</v>
      </c>
      <c r="C52" s="78"/>
      <c r="D52" s="78">
        <f>SUM(D49:D51)</f>
        <v>0.0911612</v>
      </c>
    </row>
  </sheetData>
  <mergeCells count="1">
    <mergeCell ref="A36:L36"/>
  </mergeCells>
  <printOptions horizontalCentered="1"/>
  <pageMargins left="0.75" right="0.75" top="1.25" bottom="1" header="0.5" footer="0.5"/>
  <pageSetup fitToHeight="1" fitToWidth="1" horizontalDpi="600" verticalDpi="600" orientation="landscape" scale="68" r:id="rId3"/>
  <headerFooter alignWithMargins="0">
    <oddHeader>&amp;C&amp;"Arial,Bold"&amp;14Calculation of Peak Credit using 100% of CT Capital and Fixed O&amp;&amp;M Costs&amp;R&amp;"Arial,Bold"EXHIBIT NO.____ (KCH-2)
DOCKET NO. UG-040640/UE-040641
2004 PSE GENERAL RATE CASE
WITNESS:  KEVIN C. HIGGINS
PAGE 1 OF 3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2" customWidth="1"/>
    <col min="2" max="2" width="30.57421875" style="2" bestFit="1" customWidth="1"/>
    <col min="3" max="3" width="20.421875" style="2" bestFit="1" customWidth="1"/>
    <col min="4" max="4" width="35.28125" style="2" customWidth="1"/>
    <col min="5" max="5" width="11.28125" style="2" bestFit="1" customWidth="1"/>
    <col min="6" max="16384" width="9.140625" style="2" customWidth="1"/>
  </cols>
  <sheetData>
    <row r="1" spans="1:4" ht="18">
      <c r="A1" s="5" t="s">
        <v>96</v>
      </c>
      <c r="B1" s="5"/>
      <c r="C1" s="5"/>
      <c r="D1" s="5"/>
    </row>
    <row r="2" spans="1:4" ht="12.75">
      <c r="A2" s="12"/>
      <c r="B2" s="12"/>
      <c r="C2" s="12"/>
      <c r="D2" s="12"/>
    </row>
    <row r="4" spans="1:4" ht="12.75">
      <c r="A4" s="7" t="s">
        <v>7</v>
      </c>
      <c r="C4" s="33" t="s">
        <v>47</v>
      </c>
      <c r="D4" s="65" t="s">
        <v>8</v>
      </c>
    </row>
    <row r="5" spans="1:4" ht="15" customHeight="1">
      <c r="A5" s="1">
        <v>1</v>
      </c>
      <c r="B5" s="34" t="s">
        <v>48</v>
      </c>
      <c r="C5" s="23">
        <f>+'KCH-4'!$D$23</f>
        <v>95304278</v>
      </c>
      <c r="D5" s="35" t="s">
        <v>12</v>
      </c>
    </row>
    <row r="6" spans="1:4" ht="15">
      <c r="A6" s="1">
        <v>2</v>
      </c>
      <c r="B6" s="34" t="s">
        <v>49</v>
      </c>
      <c r="C6" s="21">
        <f>+'KCH-4'!$D$24</f>
        <v>3191915.16</v>
      </c>
      <c r="D6" s="36" t="s">
        <v>50</v>
      </c>
    </row>
    <row r="7" spans="1:4" ht="15" customHeight="1">
      <c r="A7" s="1">
        <v>3</v>
      </c>
      <c r="B7" s="34" t="s">
        <v>51</v>
      </c>
      <c r="C7" s="23">
        <f>+C5-C6</f>
        <v>92112362.84</v>
      </c>
      <c r="D7" s="36" t="s">
        <v>21</v>
      </c>
    </row>
    <row r="8" spans="1:4" ht="12.75">
      <c r="A8" s="1"/>
      <c r="B8" s="34"/>
      <c r="C8" s="23"/>
      <c r="D8" s="36"/>
    </row>
    <row r="9" spans="1:4" ht="15" customHeight="1">
      <c r="A9" s="1">
        <v>4</v>
      </c>
      <c r="B9" s="34" t="s">
        <v>193</v>
      </c>
      <c r="C9" s="37">
        <f>+'KCH-5, p.4'!D14</f>
        <v>1886822194</v>
      </c>
      <c r="D9" s="36" t="s">
        <v>52</v>
      </c>
    </row>
    <row r="10" spans="1:4" ht="12.75">
      <c r="A10" s="1"/>
      <c r="B10" s="34"/>
      <c r="C10" s="37"/>
      <c r="D10" s="36"/>
    </row>
    <row r="11" spans="1:4" ht="15">
      <c r="A11" s="1">
        <v>5</v>
      </c>
      <c r="B11" s="34" t="s">
        <v>194</v>
      </c>
      <c r="C11" s="38">
        <f>+C7/C9</f>
        <v>0.04881878278351437</v>
      </c>
      <c r="D11" s="36" t="s">
        <v>53</v>
      </c>
    </row>
    <row r="41" ht="12.75">
      <c r="E41" s="25"/>
    </row>
  </sheetData>
  <printOptions horizontalCentered="1"/>
  <pageMargins left="0.5" right="0.5" top="1.75" bottom="1" header="0.5" footer="0.5"/>
  <pageSetup fitToHeight="1" fitToWidth="1" horizontalDpi="600" verticalDpi="600" orientation="landscape" r:id="rId1"/>
  <headerFooter alignWithMargins="0">
    <oddHeader>&amp;C&amp;"Arial,Bold"&amp;14Kroger Proposal for Rate Schedule 26 Design&amp;R&amp;"Arial,Bold"&amp;8EXHIBIT NO. ____ (KCH-5)
DOCKET NO. UG-040640/UE-040641
2004 PSE GENERAL RATE CASE
WITNESS:  KEVIN C. HIGGINS
PAGE 5 OF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3" sqref="A3"/>
    </sheetView>
  </sheetViews>
  <sheetFormatPr defaultColWidth="9.140625" defaultRowHeight="12.75"/>
  <cols>
    <col min="1" max="1" width="26.8515625" style="0" bestFit="1" customWidth="1"/>
    <col min="2" max="4" width="15.7109375" style="0" customWidth="1"/>
    <col min="5" max="5" width="15.8515625" style="0" customWidth="1"/>
    <col min="6" max="6" width="16.7109375" style="0" customWidth="1"/>
    <col min="7" max="7" width="15.8515625" style="0" customWidth="1"/>
    <col min="8" max="9" width="16.7109375" style="0" customWidth="1"/>
    <col min="10" max="10" width="15.7109375" style="0" customWidth="1"/>
    <col min="11" max="11" width="3.7109375" style="0" customWidth="1"/>
    <col min="12" max="12" width="12.8515625" style="0" customWidth="1"/>
    <col min="14" max="14" width="13.421875" style="0" bestFit="1" customWidth="1"/>
    <col min="15" max="15" width="11.28125" style="0" bestFit="1" customWidth="1"/>
  </cols>
  <sheetData>
    <row r="1" spans="1:12" ht="18">
      <c r="A1" s="140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145" t="s">
        <v>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4" spans="1:12" ht="12.75">
      <c r="A4" s="145" t="s">
        <v>57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2.75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>
      <c r="A6" s="145" t="s">
        <v>60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ht="12.75" customHeight="1"/>
    <row r="8" spans="2:12" ht="12.75" customHeight="1">
      <c r="B8" s="142" t="s">
        <v>89</v>
      </c>
      <c r="C8" s="144"/>
      <c r="D8" s="143"/>
      <c r="E8" s="142" t="s">
        <v>87</v>
      </c>
      <c r="F8" s="143"/>
      <c r="G8" s="142" t="s">
        <v>92</v>
      </c>
      <c r="H8" s="143"/>
      <c r="I8" s="142" t="s">
        <v>93</v>
      </c>
      <c r="J8" s="143"/>
      <c r="L8" s="146" t="s">
        <v>55</v>
      </c>
    </row>
    <row r="9" spans="2:12" ht="12.75">
      <c r="B9" s="50"/>
      <c r="C9" s="51" t="s">
        <v>26</v>
      </c>
      <c r="D9" s="52"/>
      <c r="E9" s="142" t="s">
        <v>28</v>
      </c>
      <c r="F9" s="143"/>
      <c r="G9" s="142" t="s">
        <v>178</v>
      </c>
      <c r="H9" s="143"/>
      <c r="I9" s="142" t="s">
        <v>29</v>
      </c>
      <c r="J9" s="143"/>
      <c r="L9" s="146"/>
    </row>
    <row r="10" spans="1:12" ht="25.5" customHeight="1">
      <c r="A10" s="15"/>
      <c r="B10" s="53"/>
      <c r="C10" s="54" t="s">
        <v>30</v>
      </c>
      <c r="D10" s="16"/>
      <c r="E10" s="13" t="s">
        <v>31</v>
      </c>
      <c r="F10" s="17" t="s">
        <v>32</v>
      </c>
      <c r="G10" s="13" t="s">
        <v>31</v>
      </c>
      <c r="H10" s="17" t="s">
        <v>61</v>
      </c>
      <c r="I10" s="13" t="s">
        <v>34</v>
      </c>
      <c r="J10" s="14" t="s">
        <v>35</v>
      </c>
      <c r="L10" s="146"/>
    </row>
    <row r="11" spans="1:12" ht="15">
      <c r="A11" s="2" t="s">
        <v>36</v>
      </c>
      <c r="B11" s="19">
        <f>+'KCH-5, p.4'!B12</f>
        <v>8699</v>
      </c>
      <c r="D11" s="19">
        <f>+B11</f>
        <v>8699</v>
      </c>
      <c r="E11" s="20">
        <f>+'KCH-5, p.4'!G12</f>
        <v>79</v>
      </c>
      <c r="F11" s="39">
        <f>+'KCH-5, p.4'!H12</f>
        <v>687203</v>
      </c>
      <c r="G11" s="40">
        <f>+'KCH-5, p.4'!G12</f>
        <v>79</v>
      </c>
      <c r="H11" s="21">
        <f>+D11*G11</f>
        <v>687221</v>
      </c>
      <c r="I11" s="21">
        <f>+H11-F11</f>
        <v>18</v>
      </c>
      <c r="J11" s="61">
        <f>+I11/F11</f>
        <v>2.6193133615540095E-05</v>
      </c>
      <c r="L11" s="55"/>
    </row>
    <row r="12" spans="1:12" ht="15">
      <c r="A12" s="2"/>
      <c r="D12" s="22"/>
      <c r="E12" s="2"/>
      <c r="F12" s="29"/>
      <c r="G12" s="48"/>
      <c r="H12" s="23"/>
      <c r="I12" s="23"/>
      <c r="J12" s="62"/>
      <c r="L12" s="56"/>
    </row>
    <row r="13" spans="1:12" ht="15">
      <c r="A13" s="2" t="s">
        <v>40</v>
      </c>
      <c r="B13" s="19">
        <f>+'KCH-5, p.4'!B14</f>
        <v>1890378962</v>
      </c>
      <c r="C13" s="19">
        <f>+'KCH-5, p.4'!C14</f>
        <v>-3556768</v>
      </c>
      <c r="D13" s="19">
        <f>+B13+C13</f>
        <v>1886822194</v>
      </c>
      <c r="E13" s="26">
        <f>+'KCH-5, p.4'!G14</f>
        <v>0.050448</v>
      </c>
      <c r="F13" s="39">
        <f>+'KCH-5, p.4'!H14</f>
        <v>95186406</v>
      </c>
      <c r="G13" s="43">
        <f>+'KCH-5, p.5'!C11</f>
        <v>0.04881878278351437</v>
      </c>
      <c r="H13" s="21">
        <f>+D13*G13</f>
        <v>92112362.84</v>
      </c>
      <c r="I13" s="21">
        <f>+H13-F13</f>
        <v>-3074043.1599999964</v>
      </c>
      <c r="J13" s="64">
        <f>+I13/F13</f>
        <v>-0.032294980861027535</v>
      </c>
      <c r="L13" s="42"/>
    </row>
    <row r="14" spans="1:10" ht="12.75">
      <c r="A14" s="2"/>
      <c r="E14" s="2"/>
      <c r="F14" s="29"/>
      <c r="G14" s="125"/>
      <c r="H14" s="23"/>
      <c r="I14" s="23"/>
      <c r="J14" s="62"/>
    </row>
    <row r="15" spans="1:12" ht="12.75">
      <c r="A15" s="2" t="s">
        <v>58</v>
      </c>
      <c r="B15" s="24">
        <f>+'KCH-5, p.4'!B16</f>
        <v>2134140</v>
      </c>
      <c r="D15" s="25">
        <f>+B15</f>
        <v>2134140</v>
      </c>
      <c r="E15" s="20">
        <f>+'KCH-5, p.4'!G16</f>
        <v>6.98</v>
      </c>
      <c r="F15" s="29">
        <f>+'KCH-5, p.4'!H16</f>
        <v>14896296</v>
      </c>
      <c r="G15" s="40">
        <f>+('KCH-5, p.4'!H16+L15)/B15</f>
        <v>7.8263950872530454</v>
      </c>
      <c r="H15" s="23">
        <f>+D15*G15</f>
        <v>16702622.811510215</v>
      </c>
      <c r="I15" s="23">
        <f>+H15-F15</f>
        <v>1806326.8115102146</v>
      </c>
      <c r="J15" s="62">
        <f>+I15/F15</f>
        <v>0.12126013147900758</v>
      </c>
      <c r="L15" s="41">
        <f>('KCH-5, p.4'!H16/'KCH-5, p.4'!H18)*L17</f>
        <v>1806326.811510214</v>
      </c>
    </row>
    <row r="16" spans="1:12" ht="15">
      <c r="A16" s="2" t="s">
        <v>59</v>
      </c>
      <c r="B16" s="27">
        <f>+'KCH-5, p.4'!B17</f>
        <v>2253129</v>
      </c>
      <c r="D16" s="19">
        <f>+B16</f>
        <v>2253129</v>
      </c>
      <c r="E16" s="20">
        <f>+'KCH-5, p.4'!G17</f>
        <v>4.64</v>
      </c>
      <c r="F16" s="39">
        <f>+'KCH-5, p.4'!H17</f>
        <v>10454519</v>
      </c>
      <c r="G16" s="40">
        <f>+('KCH-5, p.4'!H17+L16)/B16</f>
        <v>5.202647229026737</v>
      </c>
      <c r="H16" s="39">
        <f>+D16*G16</f>
        <v>11722235.348489782</v>
      </c>
      <c r="I16" s="21">
        <f>+H16-F16</f>
        <v>1267716.3484897818</v>
      </c>
      <c r="J16" s="61">
        <f>+I16/F16</f>
        <v>0.12126013147900748</v>
      </c>
      <c r="L16" s="46">
        <f>('KCH-5, p.4'!H17/'KCH-5, p.4'!H18)*L17</f>
        <v>1267716.3484897823</v>
      </c>
    </row>
    <row r="17" spans="1:12" ht="15">
      <c r="A17" s="2" t="s">
        <v>43</v>
      </c>
      <c r="B17" s="28">
        <f>SUM(B15:B16)</f>
        <v>4387269</v>
      </c>
      <c r="D17" s="28">
        <f>+B17</f>
        <v>4387269</v>
      </c>
      <c r="E17" s="2"/>
      <c r="F17" s="45">
        <f>+'KCH-5, p.4'!H18</f>
        <v>25350815</v>
      </c>
      <c r="G17" s="48"/>
      <c r="H17" s="45">
        <f>SUM(H15:H16)</f>
        <v>28424858.159999996</v>
      </c>
      <c r="I17" s="30">
        <f>+H17-F17</f>
        <v>3074043.1599999964</v>
      </c>
      <c r="J17" s="63">
        <f>+I17/F17</f>
        <v>0.12126013147900754</v>
      </c>
      <c r="L17" s="42">
        <f>+'KCH-5, p.4'!H14-'KCH-5, p.6'!H13</f>
        <v>3074043.1599999964</v>
      </c>
    </row>
    <row r="18" spans="1:10" ht="12.75">
      <c r="A18" s="2"/>
      <c r="E18" s="2"/>
      <c r="F18" s="29"/>
      <c r="G18" s="48"/>
      <c r="H18" s="23"/>
      <c r="I18" s="23"/>
      <c r="J18" s="62"/>
    </row>
    <row r="19" spans="1:10" ht="15">
      <c r="A19" s="2" t="s">
        <v>44</v>
      </c>
      <c r="B19" s="19">
        <f>+'KCH-5, p.4'!B20</f>
        <v>934070048</v>
      </c>
      <c r="D19" s="19">
        <f>+B19</f>
        <v>934070048</v>
      </c>
      <c r="E19" s="31">
        <f>+'KCH-5, p.4'!G20</f>
        <v>0.00113</v>
      </c>
      <c r="F19" s="47">
        <f>+'KCH-5, p.4'!H20</f>
        <v>1055499</v>
      </c>
      <c r="G19" s="57">
        <f>+'KCH-5, p.4'!G20</f>
        <v>0.00113</v>
      </c>
      <c r="H19" s="47">
        <f>+D19*G19</f>
        <v>1055499.1542399998</v>
      </c>
      <c r="I19" s="21">
        <f>+H19-F19</f>
        <v>0.15423999982886016</v>
      </c>
      <c r="J19" s="64">
        <f>+I19/F19</f>
        <v>1.461299345890997E-07</v>
      </c>
    </row>
    <row r="20" spans="1:10" ht="15">
      <c r="A20" s="2"/>
      <c r="E20" s="2"/>
      <c r="F20" s="29"/>
      <c r="G20" s="48"/>
      <c r="H20" s="45"/>
      <c r="I20" s="23"/>
      <c r="J20" s="62"/>
    </row>
    <row r="21" spans="1:10" ht="15">
      <c r="A21" s="2" t="s">
        <v>45</v>
      </c>
      <c r="D21" s="19">
        <f>+D13</f>
        <v>1886822194</v>
      </c>
      <c r="E21" s="26">
        <f>+'KCH-5, p.4'!G22</f>
        <v>0</v>
      </c>
      <c r="F21" s="39">
        <f>+'KCH-5, p.4'!H22</f>
        <v>0</v>
      </c>
      <c r="G21" s="20">
        <f>+'KCH-5, p.4'!G22</f>
        <v>0</v>
      </c>
      <c r="H21" s="47">
        <f>+D21*G21</f>
        <v>0</v>
      </c>
      <c r="I21" s="21">
        <f>+H21-F21</f>
        <v>0</v>
      </c>
      <c r="J21" s="64">
        <v>0</v>
      </c>
    </row>
    <row r="22" spans="1:10" ht="12.75">
      <c r="A22" s="2"/>
      <c r="F22" s="2"/>
      <c r="G22" s="48"/>
      <c r="H22" s="23"/>
      <c r="I22" s="23"/>
      <c r="J22" s="62"/>
    </row>
    <row r="23" spans="1:10" ht="15">
      <c r="A23" s="2" t="s">
        <v>46</v>
      </c>
      <c r="F23" s="45">
        <f>+'KCH-5, p.4'!H24</f>
        <v>122279923</v>
      </c>
      <c r="G23" s="48"/>
      <c r="H23" s="45">
        <f>+H11+H13+H17+H19+H21</f>
        <v>122279941.15424</v>
      </c>
      <c r="I23" s="30">
        <f>+H23-F23</f>
        <v>18.154239997267723</v>
      </c>
      <c r="J23" s="63">
        <f>+I23/F23</f>
        <v>1.4846460115343484E-07</v>
      </c>
    </row>
  </sheetData>
  <mergeCells count="13">
    <mergeCell ref="A1:L1"/>
    <mergeCell ref="A2:L2"/>
    <mergeCell ref="A4:L4"/>
    <mergeCell ref="B8:D8"/>
    <mergeCell ref="I8:J8"/>
    <mergeCell ref="G8:H8"/>
    <mergeCell ref="E8:F8"/>
    <mergeCell ref="L8:L10"/>
    <mergeCell ref="I9:J9"/>
    <mergeCell ref="A5:L5"/>
    <mergeCell ref="A6:L6"/>
    <mergeCell ref="G9:H9"/>
    <mergeCell ref="E9:F9"/>
  </mergeCells>
  <printOptions horizontalCentered="1"/>
  <pageMargins left="0.5" right="0.5" top="1.25" bottom="1" header="0.5" footer="0.5"/>
  <pageSetup fitToHeight="1" fitToWidth="1" horizontalDpi="600" verticalDpi="600" orientation="landscape" scale="69" r:id="rId1"/>
  <headerFooter alignWithMargins="0">
    <oddHeader>&amp;C&amp;"Arial,Bold"&amp;14Kroger Proposal for Rate Schedule 26
 Design&amp;R&amp;"Arial,Bold"&amp;8EXHIBIT NO. ____ (KCH-5)
DOCKET NO. UG-040640/UE-040641
2004 PSE GENERAL RATE CASE
WITNESS:  KEVIN C. HIGGINS
PAGE 6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13.421875" style="0" bestFit="1" customWidth="1"/>
    <col min="3" max="3" width="11.00390625" style="0" bestFit="1" customWidth="1"/>
    <col min="4" max="4" width="15.57421875" style="0" bestFit="1" customWidth="1"/>
    <col min="5" max="5" width="13.7109375" style="0" bestFit="1" customWidth="1"/>
    <col min="6" max="7" width="13.7109375" style="0" customWidth="1"/>
    <col min="8" max="8" width="9.8515625" style="0" customWidth="1"/>
    <col min="9" max="9" width="9.28125" style="0" bestFit="1" customWidth="1"/>
    <col min="10" max="10" width="10.7109375" style="0" hidden="1" customWidth="1"/>
    <col min="11" max="11" width="10.7109375" style="0" customWidth="1"/>
    <col min="12" max="12" width="10.7109375" style="0" hidden="1" customWidth="1"/>
    <col min="13" max="13" width="10.7109375" style="0" customWidth="1"/>
    <col min="14" max="14" width="12.00390625" style="0" bestFit="1" customWidth="1"/>
    <col min="15" max="15" width="10.7109375" style="0" customWidth="1"/>
    <col min="18" max="18" width="9.28125" style="0" bestFit="1" customWidth="1"/>
  </cols>
  <sheetData>
    <row r="1" ht="12.75">
      <c r="N1" s="1" t="s">
        <v>182</v>
      </c>
    </row>
    <row r="2" spans="11:14" ht="12.75">
      <c r="K2" s="1" t="s">
        <v>102</v>
      </c>
      <c r="M2" s="1" t="s">
        <v>102</v>
      </c>
      <c r="N2" s="1" t="s">
        <v>133</v>
      </c>
    </row>
    <row r="3" spans="1:14" ht="12.75">
      <c r="A3" s="2" t="s">
        <v>132</v>
      </c>
      <c r="C3" s="79"/>
      <c r="D3" s="79"/>
      <c r="I3" s="79"/>
      <c r="J3" s="1" t="s">
        <v>102</v>
      </c>
      <c r="K3" s="1" t="s">
        <v>133</v>
      </c>
      <c r="L3" s="1" t="s">
        <v>102</v>
      </c>
      <c r="M3" s="1" t="s">
        <v>133</v>
      </c>
      <c r="N3" s="1" t="s">
        <v>135</v>
      </c>
    </row>
    <row r="4" spans="2:14" ht="14.25">
      <c r="B4" s="66"/>
      <c r="C4" s="66"/>
      <c r="D4" s="66"/>
      <c r="E4" s="66"/>
      <c r="F4" s="66"/>
      <c r="G4" s="66"/>
      <c r="H4" s="66"/>
      <c r="I4" s="68"/>
      <c r="J4" s="1" t="s">
        <v>108</v>
      </c>
      <c r="K4" s="1" t="s">
        <v>175</v>
      </c>
      <c r="L4" s="1" t="s">
        <v>108</v>
      </c>
      <c r="M4" s="1" t="s">
        <v>176</v>
      </c>
      <c r="N4" s="1" t="s">
        <v>180</v>
      </c>
    </row>
    <row r="5" spans="2:18" ht="14.25">
      <c r="B5" s="1" t="s">
        <v>103</v>
      </c>
      <c r="C5" s="1" t="s">
        <v>104</v>
      </c>
      <c r="D5" s="1" t="s">
        <v>177</v>
      </c>
      <c r="E5" s="1" t="s">
        <v>106</v>
      </c>
      <c r="F5" s="1" t="s">
        <v>134</v>
      </c>
      <c r="G5" s="1" t="s">
        <v>134</v>
      </c>
      <c r="H5" s="1" t="s">
        <v>107</v>
      </c>
      <c r="I5" s="1" t="s">
        <v>107</v>
      </c>
      <c r="J5" s="1" t="s">
        <v>173</v>
      </c>
      <c r="K5" s="1" t="s">
        <v>173</v>
      </c>
      <c r="L5" s="1" t="s">
        <v>174</v>
      </c>
      <c r="M5" s="1" t="s">
        <v>174</v>
      </c>
      <c r="N5" s="1" t="s">
        <v>181</v>
      </c>
      <c r="O5" s="1" t="s">
        <v>109</v>
      </c>
      <c r="R5" s="1"/>
    </row>
    <row r="6" spans="1:18" ht="12.75">
      <c r="A6" s="1" t="s">
        <v>110</v>
      </c>
      <c r="B6" s="1" t="s">
        <v>136</v>
      </c>
      <c r="C6" s="1" t="s">
        <v>136</v>
      </c>
      <c r="D6" s="1" t="s">
        <v>136</v>
      </c>
      <c r="E6" s="1" t="s">
        <v>136</v>
      </c>
      <c r="F6" s="1" t="s">
        <v>113</v>
      </c>
      <c r="G6" s="1" t="s">
        <v>136</v>
      </c>
      <c r="H6" s="1" t="s">
        <v>113</v>
      </c>
      <c r="I6" s="1" t="s">
        <v>136</v>
      </c>
      <c r="J6" s="1" t="s">
        <v>136</v>
      </c>
      <c r="K6" s="1" t="s">
        <v>136</v>
      </c>
      <c r="L6" s="1" t="s">
        <v>136</v>
      </c>
      <c r="M6" s="1" t="s">
        <v>136</v>
      </c>
      <c r="N6" s="1" t="s">
        <v>136</v>
      </c>
      <c r="O6" s="1" t="s">
        <v>114</v>
      </c>
      <c r="R6" s="1"/>
    </row>
    <row r="7" spans="1:16" ht="12.75">
      <c r="A7" s="66">
        <v>2004</v>
      </c>
      <c r="B7" s="67">
        <f>+ROUND((B45*B48),2)</f>
        <v>44.45</v>
      </c>
      <c r="C7" s="68">
        <f>+ROUND(C45,2)</f>
        <v>19.21</v>
      </c>
      <c r="D7" s="68">
        <f>+ROUND(D45,2)</f>
        <v>5.56</v>
      </c>
      <c r="E7" s="68">
        <f>+ROUND((E45*B50)/1000,2)</f>
        <v>0.4</v>
      </c>
      <c r="F7" s="106">
        <v>6.895392795323741</v>
      </c>
      <c r="G7" s="106">
        <f aca="true" t="shared" si="0" ref="G7:G36">+F7*(G$45/1000000)*B$49</f>
        <v>4.033804785264389</v>
      </c>
      <c r="H7" s="106">
        <f>+'KCH-2, p.1'!F5</f>
        <v>3.86</v>
      </c>
      <c r="I7" s="106">
        <f aca="true" t="shared" si="1" ref="I7:I36">+(H7*(G$45/1000000)*(B$50-B$49))</f>
        <v>6.7743</v>
      </c>
      <c r="J7" s="106">
        <v>80.43</v>
      </c>
      <c r="K7" s="107">
        <v>47.812604785264384</v>
      </c>
      <c r="L7" s="106">
        <f aca="true" t="shared" si="2" ref="L7:L36">+I7+G7+E7+D7+C7+B7</f>
        <v>80.4281047852644</v>
      </c>
      <c r="M7" s="106">
        <f aca="true" t="shared" si="3" ref="M7:M36">+(1+B$52)*((0.5*B7)+(0.5*C7))+(1*D7)+E7+G7+I7</f>
        <v>53.372604785264386</v>
      </c>
      <c r="N7" s="106">
        <f>+((1*B7)+(1*C7))+(1*D7)+E7+G7+I7</f>
        <v>80.4281047852644</v>
      </c>
      <c r="O7" s="108">
        <v>0</v>
      </c>
      <c r="P7" s="68"/>
    </row>
    <row r="8" spans="1:18" ht="12.75">
      <c r="A8" s="66">
        <v>2005</v>
      </c>
      <c r="B8" s="67">
        <f aca="true" t="shared" si="4" ref="B8:B36">+B7</f>
        <v>44.45</v>
      </c>
      <c r="C8" s="67">
        <f aca="true" t="shared" si="5" ref="C8:C36">+ROUND(C7*(1+O8),2)</f>
        <v>19.69</v>
      </c>
      <c r="D8" s="67">
        <f aca="true" t="shared" si="6" ref="D8:D36">+ROUND(D7*(1+O8),2)</f>
        <v>5.7</v>
      </c>
      <c r="E8" s="67">
        <f aca="true" t="shared" si="7" ref="E8:E36">+ROUND(E7*(1+O8),2)</f>
        <v>0.41</v>
      </c>
      <c r="F8" s="107">
        <v>6.50414279532374</v>
      </c>
      <c r="G8" s="106">
        <f t="shared" si="0"/>
        <v>3.804923535264388</v>
      </c>
      <c r="H8" s="106">
        <f>+'KCH-2, p.1'!F6</f>
        <v>4.463966666666666</v>
      </c>
      <c r="I8" s="106">
        <f t="shared" si="1"/>
        <v>7.834261499999999</v>
      </c>
      <c r="J8" s="106">
        <v>81.89</v>
      </c>
      <c r="K8" s="107">
        <v>48.92968503526438</v>
      </c>
      <c r="L8" s="106">
        <f t="shared" si="2"/>
        <v>81.88918503526439</v>
      </c>
      <c r="M8" s="106">
        <f t="shared" si="3"/>
        <v>54.62968503526438</v>
      </c>
      <c r="N8" s="106">
        <f aca="true" t="shared" si="8" ref="N8:N36">+((1*B8)+(1*C8))+(1*D8)+E8+G8+I8</f>
        <v>81.88918503526439</v>
      </c>
      <c r="O8" s="109">
        <v>0.025</v>
      </c>
      <c r="R8" s="72"/>
    </row>
    <row r="9" spans="1:18" ht="12.75">
      <c r="A9" s="66">
        <v>2006</v>
      </c>
      <c r="B9" s="67">
        <f t="shared" si="4"/>
        <v>44.45</v>
      </c>
      <c r="C9" s="67">
        <f t="shared" si="5"/>
        <v>20.18</v>
      </c>
      <c r="D9" s="105">
        <f t="shared" si="6"/>
        <v>5.84</v>
      </c>
      <c r="E9" s="67">
        <f t="shared" si="7"/>
        <v>0.42</v>
      </c>
      <c r="F9" s="107">
        <v>4.854604406507359</v>
      </c>
      <c r="G9" s="106">
        <f t="shared" si="0"/>
        <v>2.839943577806805</v>
      </c>
      <c r="H9" s="106">
        <f>+'KCH-2, p.1'!F7</f>
        <v>4.628333333333333</v>
      </c>
      <c r="I9" s="106">
        <f t="shared" si="1"/>
        <v>8.122724999999999</v>
      </c>
      <c r="J9" s="106">
        <v>81.71</v>
      </c>
      <c r="K9" s="107">
        <v>48.5449185778068</v>
      </c>
      <c r="L9" s="106">
        <f t="shared" si="2"/>
        <v>81.85266857780681</v>
      </c>
      <c r="M9" s="106">
        <f t="shared" si="3"/>
        <v>54.3849185778068</v>
      </c>
      <c r="N9" s="106">
        <f t="shared" si="8"/>
        <v>81.85266857780681</v>
      </c>
      <c r="O9" s="109">
        <v>0.025</v>
      </c>
      <c r="R9" s="72"/>
    </row>
    <row r="10" spans="1:18" ht="12.75">
      <c r="A10" s="66">
        <v>2007</v>
      </c>
      <c r="B10" s="67">
        <f t="shared" si="4"/>
        <v>44.45</v>
      </c>
      <c r="C10" s="67">
        <f t="shared" si="5"/>
        <v>20.68</v>
      </c>
      <c r="D10" s="105">
        <f t="shared" si="6"/>
        <v>5.99</v>
      </c>
      <c r="E10" s="67">
        <f t="shared" si="7"/>
        <v>0.43</v>
      </c>
      <c r="F10" s="107">
        <v>4.861940083469085</v>
      </c>
      <c r="G10" s="106">
        <f t="shared" si="0"/>
        <v>2.8442349488294147</v>
      </c>
      <c r="H10" s="106">
        <f>+'KCH-2, p.1'!F8</f>
        <v>4.5475</v>
      </c>
      <c r="I10" s="106">
        <f t="shared" si="1"/>
        <v>7.980862500000001</v>
      </c>
      <c r="J10" s="106">
        <v>82.09</v>
      </c>
      <c r="K10" s="107">
        <v>48.70484744882941</v>
      </c>
      <c r="L10" s="106">
        <f t="shared" si="2"/>
        <v>82.37509744882942</v>
      </c>
      <c r="M10" s="106">
        <f t="shared" si="3"/>
        <v>54.694847448829414</v>
      </c>
      <c r="N10" s="106">
        <f t="shared" si="8"/>
        <v>82.37509744882941</v>
      </c>
      <c r="O10" s="109">
        <v>0.025</v>
      </c>
      <c r="R10" s="72"/>
    </row>
    <row r="11" spans="1:18" ht="12.75">
      <c r="A11" s="66">
        <v>2008</v>
      </c>
      <c r="B11" s="67">
        <f t="shared" si="4"/>
        <v>44.45</v>
      </c>
      <c r="C11" s="67">
        <f t="shared" si="5"/>
        <v>21.2</v>
      </c>
      <c r="D11" s="105">
        <f t="shared" si="6"/>
        <v>6.14</v>
      </c>
      <c r="E11" s="67">
        <f t="shared" si="7"/>
        <v>0.44</v>
      </c>
      <c r="F11" s="107">
        <v>4.867321849017738</v>
      </c>
      <c r="G11" s="106">
        <f t="shared" si="0"/>
        <v>2.847383281675377</v>
      </c>
      <c r="H11" s="106">
        <f>+'KCH-2, p.1'!F9</f>
        <v>4.544166666666667</v>
      </c>
      <c r="I11" s="106">
        <f t="shared" si="1"/>
        <v>7.975012500000002</v>
      </c>
      <c r="J11" s="106">
        <v>82.61</v>
      </c>
      <c r="K11" s="107">
        <v>49.011145781675374</v>
      </c>
      <c r="L11" s="106">
        <f t="shared" si="2"/>
        <v>83.05239578167539</v>
      </c>
      <c r="M11" s="106">
        <f t="shared" si="3"/>
        <v>55.15114578167538</v>
      </c>
      <c r="N11" s="106">
        <f t="shared" si="8"/>
        <v>83.05239578167539</v>
      </c>
      <c r="O11" s="109">
        <v>0.025</v>
      </c>
      <c r="R11" s="72"/>
    </row>
    <row r="12" spans="1:18" ht="12.75">
      <c r="A12" s="66">
        <v>2009</v>
      </c>
      <c r="B12" s="67">
        <f t="shared" si="4"/>
        <v>44.45</v>
      </c>
      <c r="C12" s="67">
        <f t="shared" si="5"/>
        <v>21.73</v>
      </c>
      <c r="D12" s="105">
        <f t="shared" si="6"/>
        <v>6.29</v>
      </c>
      <c r="E12" s="67">
        <f t="shared" si="7"/>
        <v>0.45</v>
      </c>
      <c r="F12" s="107">
        <v>4.869941645461583</v>
      </c>
      <c r="G12" s="106">
        <f t="shared" si="0"/>
        <v>2.848915862595026</v>
      </c>
      <c r="H12" s="106">
        <f>+'KCH-2, p.1'!F10</f>
        <v>3.5775</v>
      </c>
      <c r="I12" s="106">
        <f t="shared" si="1"/>
        <v>6.278512500000001</v>
      </c>
      <c r="J12" s="106">
        <v>81.46</v>
      </c>
      <c r="K12" s="107">
        <v>47.63092836259503</v>
      </c>
      <c r="L12" s="106">
        <f t="shared" si="2"/>
        <v>82.04742836259503</v>
      </c>
      <c r="M12" s="106">
        <f t="shared" si="3"/>
        <v>53.92092836259503</v>
      </c>
      <c r="N12" s="106">
        <f t="shared" si="8"/>
        <v>82.04742836259504</v>
      </c>
      <c r="O12" s="109">
        <v>0.025</v>
      </c>
      <c r="R12" s="72"/>
    </row>
    <row r="13" spans="1:18" ht="12.75">
      <c r="A13" s="66">
        <v>2010</v>
      </c>
      <c r="B13" s="67">
        <f t="shared" si="4"/>
        <v>44.45</v>
      </c>
      <c r="C13" s="67">
        <f t="shared" si="5"/>
        <v>22.27</v>
      </c>
      <c r="D13" s="105">
        <f t="shared" si="6"/>
        <v>6.45</v>
      </c>
      <c r="E13" s="67">
        <f t="shared" si="7"/>
        <v>0.46</v>
      </c>
      <c r="F13" s="107">
        <v>4.866270019089775</v>
      </c>
      <c r="G13" s="106">
        <f t="shared" si="0"/>
        <v>2.8467679611675187</v>
      </c>
      <c r="H13" s="106">
        <f>+'KCH-2, p.1'!F11</f>
        <v>3.5066666666666664</v>
      </c>
      <c r="I13" s="106">
        <f t="shared" si="1"/>
        <v>6.1541999999999994</v>
      </c>
      <c r="J13" s="106">
        <v>81.88</v>
      </c>
      <c r="K13" s="107">
        <v>47.824967961167516</v>
      </c>
      <c r="L13" s="106">
        <f t="shared" si="2"/>
        <v>82.63096796116753</v>
      </c>
      <c r="M13" s="106">
        <f t="shared" si="3"/>
        <v>54.27496796116752</v>
      </c>
      <c r="N13" s="106">
        <f t="shared" si="8"/>
        <v>82.63096796116751</v>
      </c>
      <c r="O13" s="109">
        <v>0.025</v>
      </c>
      <c r="R13" s="72"/>
    </row>
    <row r="14" spans="1:18" ht="12.75">
      <c r="A14" s="66">
        <v>2011</v>
      </c>
      <c r="B14" s="67">
        <f t="shared" si="4"/>
        <v>44.45</v>
      </c>
      <c r="C14" s="67">
        <f t="shared" si="5"/>
        <v>22.83</v>
      </c>
      <c r="D14" s="105">
        <f t="shared" si="6"/>
        <v>6.61</v>
      </c>
      <c r="E14" s="67">
        <f t="shared" si="7"/>
        <v>0.47</v>
      </c>
      <c r="F14" s="107">
        <v>4.908677225627147</v>
      </c>
      <c r="G14" s="106">
        <f t="shared" si="0"/>
        <v>2.8715761769918813</v>
      </c>
      <c r="H14" s="106">
        <f>+'KCH-2, p.1'!F12</f>
        <v>4.5525</v>
      </c>
      <c r="I14" s="106">
        <f t="shared" si="1"/>
        <v>7.989637500000001</v>
      </c>
      <c r="J14" s="106">
        <v>84.31</v>
      </c>
      <c r="K14" s="107">
        <v>50.01721367699188</v>
      </c>
      <c r="L14" s="106">
        <f t="shared" si="2"/>
        <v>85.22121367699188</v>
      </c>
      <c r="M14" s="106">
        <f t="shared" si="3"/>
        <v>56.62721367699188</v>
      </c>
      <c r="N14" s="106">
        <f t="shared" si="8"/>
        <v>85.22121367699188</v>
      </c>
      <c r="O14" s="109">
        <v>0.025</v>
      </c>
      <c r="R14" s="72"/>
    </row>
    <row r="15" spans="1:18" ht="12.75">
      <c r="A15" s="66">
        <v>2012</v>
      </c>
      <c r="B15" s="67">
        <f t="shared" si="4"/>
        <v>44.45</v>
      </c>
      <c r="C15" s="67">
        <f t="shared" si="5"/>
        <v>23.4</v>
      </c>
      <c r="D15" s="105">
        <f t="shared" si="6"/>
        <v>6.78</v>
      </c>
      <c r="E15" s="67">
        <f t="shared" si="7"/>
        <v>0.48</v>
      </c>
      <c r="F15" s="107">
        <v>4.946807399798222</v>
      </c>
      <c r="G15" s="106">
        <f t="shared" si="0"/>
        <v>2.89388232888196</v>
      </c>
      <c r="H15" s="106">
        <f>+'KCH-2, p.1'!F13</f>
        <v>5.1825</v>
      </c>
      <c r="I15" s="106">
        <f t="shared" si="1"/>
        <v>9.0952875</v>
      </c>
      <c r="J15" s="106">
        <v>86.02</v>
      </c>
      <c r="K15" s="107">
        <v>51.48291982888195</v>
      </c>
      <c r="L15" s="106">
        <f t="shared" si="2"/>
        <v>87.09916982888197</v>
      </c>
      <c r="M15" s="106">
        <f t="shared" si="3"/>
        <v>58.26291982888195</v>
      </c>
      <c r="N15" s="106">
        <f t="shared" si="8"/>
        <v>87.09916982888195</v>
      </c>
      <c r="O15" s="109">
        <v>0.025</v>
      </c>
      <c r="R15" s="72"/>
    </row>
    <row r="16" spans="1:18" ht="12.75">
      <c r="A16" s="66">
        <v>2013</v>
      </c>
      <c r="B16" s="67">
        <f t="shared" si="4"/>
        <v>44.45</v>
      </c>
      <c r="C16" s="67">
        <f t="shared" si="5"/>
        <v>23.99</v>
      </c>
      <c r="D16" s="105">
        <f t="shared" si="6"/>
        <v>6.95</v>
      </c>
      <c r="E16" s="67">
        <f t="shared" si="7"/>
        <v>0.49</v>
      </c>
      <c r="F16" s="107">
        <v>4.985939143222428</v>
      </c>
      <c r="G16" s="106">
        <f t="shared" si="0"/>
        <v>2.9167743987851202</v>
      </c>
      <c r="H16" s="106">
        <f>+'KCH-2, p.1'!F14</f>
        <v>5.486666666666667</v>
      </c>
      <c r="I16" s="106">
        <f t="shared" si="1"/>
        <v>9.629100000000003</v>
      </c>
      <c r="J16" s="106">
        <v>87.18</v>
      </c>
      <c r="K16" s="107">
        <v>52.38887439878512</v>
      </c>
      <c r="L16" s="106">
        <f t="shared" si="2"/>
        <v>88.42587439878513</v>
      </c>
      <c r="M16" s="106">
        <f t="shared" si="3"/>
        <v>59.33887439878512</v>
      </c>
      <c r="N16" s="106">
        <f t="shared" si="8"/>
        <v>88.42587439878513</v>
      </c>
      <c r="O16" s="109">
        <v>0.025</v>
      </c>
      <c r="R16" s="72"/>
    </row>
    <row r="17" spans="1:18" ht="12.75">
      <c r="A17" s="66">
        <v>2014</v>
      </c>
      <c r="B17" s="67">
        <f t="shared" si="4"/>
        <v>44.45</v>
      </c>
      <c r="C17" s="67">
        <f t="shared" si="5"/>
        <v>24.59</v>
      </c>
      <c r="D17" s="105">
        <f t="shared" si="6"/>
        <v>7.12</v>
      </c>
      <c r="E17" s="67">
        <f t="shared" si="7"/>
        <v>0.5</v>
      </c>
      <c r="F17" s="107">
        <v>5.017934931504619</v>
      </c>
      <c r="G17" s="106">
        <f t="shared" si="0"/>
        <v>2.935491934930202</v>
      </c>
      <c r="H17" s="106">
        <f>+'KCH-2, p.1'!F15</f>
        <v>5.944166666666667</v>
      </c>
      <c r="I17" s="106">
        <f t="shared" si="1"/>
        <v>10.4320125</v>
      </c>
      <c r="J17" s="106">
        <v>88.61</v>
      </c>
      <c r="K17" s="107">
        <v>53.565504434930205</v>
      </c>
      <c r="L17" s="106">
        <f t="shared" si="2"/>
        <v>90.02750443493021</v>
      </c>
      <c r="M17" s="106">
        <f t="shared" si="3"/>
        <v>60.6855044349302</v>
      </c>
      <c r="N17" s="106">
        <f t="shared" si="8"/>
        <v>90.02750443493021</v>
      </c>
      <c r="O17" s="109">
        <v>0.025</v>
      </c>
      <c r="R17" s="72"/>
    </row>
    <row r="18" spans="1:18" ht="12.75">
      <c r="A18" s="66">
        <v>2015</v>
      </c>
      <c r="B18" s="67">
        <f t="shared" si="4"/>
        <v>44.45</v>
      </c>
      <c r="C18" s="67">
        <f t="shared" si="5"/>
        <v>25.2</v>
      </c>
      <c r="D18" s="105">
        <f t="shared" si="6"/>
        <v>7.3</v>
      </c>
      <c r="E18" s="67">
        <f t="shared" si="7"/>
        <v>0.51</v>
      </c>
      <c r="F18" s="107">
        <v>5.044935934107801</v>
      </c>
      <c r="G18" s="106">
        <f t="shared" si="0"/>
        <v>2.951287521453063</v>
      </c>
      <c r="H18" s="106">
        <f>+'KCH-2, p.1'!F16</f>
        <v>5.743333333333332</v>
      </c>
      <c r="I18" s="106">
        <f t="shared" si="1"/>
        <v>10.07955</v>
      </c>
      <c r="J18" s="106">
        <v>88.89</v>
      </c>
      <c r="K18" s="107">
        <v>53.589587521453055</v>
      </c>
      <c r="L18" s="106">
        <f t="shared" si="2"/>
        <v>90.49083752145306</v>
      </c>
      <c r="M18" s="106">
        <f t="shared" si="3"/>
        <v>60.88958752145305</v>
      </c>
      <c r="N18" s="106">
        <f t="shared" si="8"/>
        <v>90.49083752145307</v>
      </c>
      <c r="O18" s="109">
        <v>0.025</v>
      </c>
      <c r="R18" s="72"/>
    </row>
    <row r="19" spans="1:18" ht="12.75">
      <c r="A19" s="66">
        <v>2016</v>
      </c>
      <c r="B19" s="67">
        <f t="shared" si="4"/>
        <v>44.45</v>
      </c>
      <c r="C19" s="67">
        <f t="shared" si="5"/>
        <v>25.83</v>
      </c>
      <c r="D19" s="105">
        <f t="shared" si="6"/>
        <v>7.48</v>
      </c>
      <c r="E19" s="67">
        <f t="shared" si="7"/>
        <v>0.52</v>
      </c>
      <c r="F19" s="107">
        <v>5.0920839880400415</v>
      </c>
      <c r="G19" s="106">
        <f t="shared" si="0"/>
        <v>2.9788691330034243</v>
      </c>
      <c r="H19" s="106">
        <f>+'KCH-2, p.1'!F17</f>
        <v>5.315</v>
      </c>
      <c r="I19" s="106">
        <f t="shared" si="1"/>
        <v>9.327825</v>
      </c>
      <c r="J19" s="106">
        <v>88.81</v>
      </c>
      <c r="K19" s="107">
        <v>53.237694133003416</v>
      </c>
      <c r="L19" s="106">
        <f t="shared" si="2"/>
        <v>90.58669413300342</v>
      </c>
      <c r="M19" s="106">
        <f t="shared" si="3"/>
        <v>60.71769413300342</v>
      </c>
      <c r="N19" s="106">
        <f t="shared" si="8"/>
        <v>90.58669413300343</v>
      </c>
      <c r="O19" s="109">
        <v>0.025</v>
      </c>
      <c r="R19" s="72"/>
    </row>
    <row r="20" spans="1:18" ht="12.75">
      <c r="A20" s="66">
        <v>2017</v>
      </c>
      <c r="B20" s="67">
        <f t="shared" si="4"/>
        <v>44.45</v>
      </c>
      <c r="C20" s="67">
        <f t="shared" si="5"/>
        <v>26.48</v>
      </c>
      <c r="D20" s="105">
        <f t="shared" si="6"/>
        <v>7.67</v>
      </c>
      <c r="E20" s="67">
        <f t="shared" si="7"/>
        <v>0.53</v>
      </c>
      <c r="F20" s="107">
        <v>5.133615485991874</v>
      </c>
      <c r="G20" s="106">
        <f t="shared" si="0"/>
        <v>3.0031650593052466</v>
      </c>
      <c r="H20" s="106">
        <f>+'KCH-2, p.1'!F18</f>
        <v>5.921666666666667</v>
      </c>
      <c r="I20" s="106">
        <f t="shared" si="1"/>
        <v>10.392525</v>
      </c>
      <c r="J20" s="106">
        <v>90.56</v>
      </c>
      <c r="K20" s="107">
        <v>54.71044005930525</v>
      </c>
      <c r="L20" s="106">
        <f t="shared" si="2"/>
        <v>92.52569005930525</v>
      </c>
      <c r="M20" s="106">
        <f t="shared" si="3"/>
        <v>62.38044005930525</v>
      </c>
      <c r="N20" s="106">
        <f t="shared" si="8"/>
        <v>92.52569005930525</v>
      </c>
      <c r="O20" s="109">
        <v>0.025</v>
      </c>
      <c r="R20" s="72"/>
    </row>
    <row r="21" spans="1:18" ht="12.75">
      <c r="A21" s="66">
        <v>2018</v>
      </c>
      <c r="B21" s="67">
        <f t="shared" si="4"/>
        <v>44.45</v>
      </c>
      <c r="C21" s="67">
        <f t="shared" si="5"/>
        <v>27.14</v>
      </c>
      <c r="D21" s="105">
        <f t="shared" si="6"/>
        <v>7.86</v>
      </c>
      <c r="E21" s="67">
        <f t="shared" si="7"/>
        <v>0.54</v>
      </c>
      <c r="F21" s="107">
        <v>5.169156173092539</v>
      </c>
      <c r="G21" s="106">
        <f t="shared" si="0"/>
        <v>3.023956361259135</v>
      </c>
      <c r="H21" s="106">
        <f>+'KCH-2, p.1'!F19</f>
        <v>5.954166666666666</v>
      </c>
      <c r="I21" s="106">
        <f t="shared" si="1"/>
        <v>10.449562499999999</v>
      </c>
      <c r="J21" s="106">
        <v>91.3</v>
      </c>
      <c r="K21" s="107">
        <v>55.17776886125913</v>
      </c>
      <c r="L21" s="106">
        <f t="shared" si="2"/>
        <v>93.46351886125913</v>
      </c>
      <c r="M21" s="106">
        <f t="shared" si="3"/>
        <v>63.03776886125913</v>
      </c>
      <c r="N21" s="106">
        <f t="shared" si="8"/>
        <v>93.46351886125915</v>
      </c>
      <c r="O21" s="109">
        <v>0.025</v>
      </c>
      <c r="R21" s="72"/>
    </row>
    <row r="22" spans="1:18" ht="12.75">
      <c r="A22" s="66">
        <v>2019</v>
      </c>
      <c r="B22" s="67">
        <f t="shared" si="4"/>
        <v>44.45</v>
      </c>
      <c r="C22" s="67">
        <f t="shared" si="5"/>
        <v>27.82</v>
      </c>
      <c r="D22" s="105">
        <f t="shared" si="6"/>
        <v>8.06</v>
      </c>
      <c r="E22" s="67">
        <f t="shared" si="7"/>
        <v>0.55</v>
      </c>
      <c r="F22" s="107">
        <v>5.200811415093411</v>
      </c>
      <c r="G22" s="106">
        <f t="shared" si="0"/>
        <v>3.042474677829645</v>
      </c>
      <c r="H22" s="106">
        <f>+'KCH-2, p.1'!F20</f>
        <v>6.213333333333334</v>
      </c>
      <c r="I22" s="106">
        <f t="shared" si="1"/>
        <v>10.9044</v>
      </c>
      <c r="J22" s="106">
        <v>92.47</v>
      </c>
      <c r="K22" s="107">
        <v>56.05212467782964</v>
      </c>
      <c r="L22" s="106">
        <f t="shared" si="2"/>
        <v>94.82687467782965</v>
      </c>
      <c r="M22" s="106">
        <f t="shared" si="3"/>
        <v>64.11212467782964</v>
      </c>
      <c r="N22" s="106">
        <f t="shared" si="8"/>
        <v>94.82687467782965</v>
      </c>
      <c r="O22" s="109">
        <v>0.025</v>
      </c>
      <c r="R22" s="72"/>
    </row>
    <row r="23" spans="1:18" ht="12.75">
      <c r="A23" s="66">
        <v>2020</v>
      </c>
      <c r="B23" s="67">
        <f t="shared" si="4"/>
        <v>44.45</v>
      </c>
      <c r="C23" s="67">
        <f t="shared" si="5"/>
        <v>28.52</v>
      </c>
      <c r="D23" s="105">
        <f t="shared" si="6"/>
        <v>8.26</v>
      </c>
      <c r="E23" s="67">
        <f t="shared" si="7"/>
        <v>0.56</v>
      </c>
      <c r="F23" s="107">
        <v>5.227542452017786</v>
      </c>
      <c r="G23" s="106">
        <f t="shared" si="0"/>
        <v>3.0581123344304046</v>
      </c>
      <c r="H23" s="106">
        <f>+'KCH-2, p.1'!F21</f>
        <v>6.2575</v>
      </c>
      <c r="I23" s="106">
        <f t="shared" si="1"/>
        <v>10.981912500000002</v>
      </c>
      <c r="J23" s="106">
        <v>93.27</v>
      </c>
      <c r="K23" s="107">
        <v>56.557774834430404</v>
      </c>
      <c r="L23" s="106">
        <f t="shared" si="2"/>
        <v>95.8300248344304</v>
      </c>
      <c r="M23" s="106">
        <f t="shared" si="3"/>
        <v>64.81777483443041</v>
      </c>
      <c r="N23" s="106">
        <f t="shared" si="8"/>
        <v>95.83002483443042</v>
      </c>
      <c r="O23" s="109">
        <v>0.025</v>
      </c>
      <c r="R23" s="72"/>
    </row>
    <row r="24" spans="1:18" ht="12.75">
      <c r="A24" s="66">
        <v>2021</v>
      </c>
      <c r="B24" s="67">
        <f t="shared" si="4"/>
        <v>44.45</v>
      </c>
      <c r="C24" s="67">
        <f t="shared" si="5"/>
        <v>29.23</v>
      </c>
      <c r="D24" s="105">
        <f t="shared" si="6"/>
        <v>8.47</v>
      </c>
      <c r="E24" s="67">
        <f t="shared" si="7"/>
        <v>0.57</v>
      </c>
      <c r="F24" s="107">
        <v>5.3320933010581415</v>
      </c>
      <c r="G24" s="106">
        <f t="shared" si="0"/>
        <v>3.119274581119013</v>
      </c>
      <c r="H24" s="106">
        <f>+'KCH-2, p.1'!F22</f>
        <v>6.467320303136634</v>
      </c>
      <c r="I24" s="106">
        <f t="shared" si="1"/>
        <v>11.350147132004793</v>
      </c>
      <c r="J24" s="106">
        <v>94.42</v>
      </c>
      <c r="K24" s="107">
        <v>57.40542171312381</v>
      </c>
      <c r="L24" s="106">
        <f t="shared" si="2"/>
        <v>97.1894217131238</v>
      </c>
      <c r="M24" s="106">
        <f t="shared" si="3"/>
        <v>65.87542171312381</v>
      </c>
      <c r="N24" s="106">
        <f t="shared" si="8"/>
        <v>97.1894217131238</v>
      </c>
      <c r="O24" s="109">
        <v>0.025</v>
      </c>
      <c r="R24" s="72"/>
    </row>
    <row r="25" spans="1:18" ht="12.75">
      <c r="A25" s="66">
        <v>2022</v>
      </c>
      <c r="B25" s="67">
        <f t="shared" si="4"/>
        <v>44.45</v>
      </c>
      <c r="C25" s="67">
        <f t="shared" si="5"/>
        <v>29.96</v>
      </c>
      <c r="D25" s="105">
        <f t="shared" si="6"/>
        <v>8.68</v>
      </c>
      <c r="E25" s="67">
        <f t="shared" si="7"/>
        <v>0.58</v>
      </c>
      <c r="F25" s="107">
        <v>5.4387351670793045</v>
      </c>
      <c r="G25" s="106">
        <f t="shared" si="0"/>
        <v>3.1816600727413933</v>
      </c>
      <c r="H25" s="106">
        <f>+'KCH-2, p.1'!F23</f>
        <v>6.62900331071505</v>
      </c>
      <c r="I25" s="106">
        <f t="shared" si="1"/>
        <v>11.633900810304914</v>
      </c>
      <c r="J25" s="106">
        <v>95.51</v>
      </c>
      <c r="K25" s="107">
        <v>58.1813108830463</v>
      </c>
      <c r="L25" s="106">
        <f t="shared" si="2"/>
        <v>98.4855608830463</v>
      </c>
      <c r="M25" s="106">
        <f t="shared" si="3"/>
        <v>66.8613108830463</v>
      </c>
      <c r="N25" s="106">
        <f t="shared" si="8"/>
        <v>98.4855608830463</v>
      </c>
      <c r="O25" s="109">
        <v>0.025</v>
      </c>
      <c r="R25" s="72"/>
    </row>
    <row r="26" spans="1:18" ht="12.75">
      <c r="A26" s="66">
        <v>2023</v>
      </c>
      <c r="B26" s="67">
        <f t="shared" si="4"/>
        <v>44.45</v>
      </c>
      <c r="C26" s="67">
        <f t="shared" si="5"/>
        <v>30.71</v>
      </c>
      <c r="D26" s="105">
        <f t="shared" si="6"/>
        <v>8.9</v>
      </c>
      <c r="E26" s="67">
        <f t="shared" si="7"/>
        <v>0.59</v>
      </c>
      <c r="F26" s="107">
        <v>5.547509870420891</v>
      </c>
      <c r="G26" s="106">
        <f t="shared" si="0"/>
        <v>3.245293274196221</v>
      </c>
      <c r="H26" s="106">
        <f>+'KCH-2, p.1'!F24</f>
        <v>6.794728393482925</v>
      </c>
      <c r="I26" s="106">
        <f t="shared" si="1"/>
        <v>11.924748330562533</v>
      </c>
      <c r="J26" s="106">
        <v>96.62</v>
      </c>
      <c r="K26" s="107">
        <v>58.977041604758746</v>
      </c>
      <c r="L26" s="106">
        <f t="shared" si="2"/>
        <v>99.82004160475876</v>
      </c>
      <c r="M26" s="106">
        <f t="shared" si="3"/>
        <v>67.87704160475874</v>
      </c>
      <c r="N26" s="106">
        <f t="shared" si="8"/>
        <v>99.82004160475876</v>
      </c>
      <c r="O26" s="109">
        <v>0.025</v>
      </c>
      <c r="R26" s="72"/>
    </row>
    <row r="27" spans="1:18" ht="12.75">
      <c r="A27" s="66">
        <v>2024</v>
      </c>
      <c r="B27" s="67">
        <f t="shared" si="4"/>
        <v>44.45</v>
      </c>
      <c r="C27" s="67">
        <f t="shared" si="5"/>
        <v>31.48</v>
      </c>
      <c r="D27" s="105">
        <f t="shared" si="6"/>
        <v>9.12</v>
      </c>
      <c r="E27" s="67">
        <f t="shared" si="7"/>
        <v>0.6</v>
      </c>
      <c r="F27" s="107">
        <v>5.658460067829308</v>
      </c>
      <c r="G27" s="106">
        <f t="shared" si="0"/>
        <v>3.3101991396801456</v>
      </c>
      <c r="H27" s="106">
        <f>+'KCH-2, p.1'!F25</f>
        <v>6.9645966033199995</v>
      </c>
      <c r="I27" s="106">
        <f t="shared" si="1"/>
        <v>12.2228670388266</v>
      </c>
      <c r="J27" s="106">
        <v>97.76</v>
      </c>
      <c r="K27" s="107">
        <v>59.79281617850675</v>
      </c>
      <c r="L27" s="106">
        <f t="shared" si="2"/>
        <v>101.18306617850675</v>
      </c>
      <c r="M27" s="106">
        <f t="shared" si="3"/>
        <v>68.91281617850674</v>
      </c>
      <c r="N27" s="106">
        <f t="shared" si="8"/>
        <v>101.18306617850675</v>
      </c>
      <c r="O27" s="109">
        <v>0.025</v>
      </c>
      <c r="R27" s="72"/>
    </row>
    <row r="28" spans="1:18" ht="12.75">
      <c r="A28" s="66">
        <v>2025</v>
      </c>
      <c r="B28" s="67">
        <f t="shared" si="4"/>
        <v>44.45</v>
      </c>
      <c r="C28" s="67">
        <f t="shared" si="5"/>
        <v>32.27</v>
      </c>
      <c r="D28" s="105">
        <f t="shared" si="6"/>
        <v>9.35</v>
      </c>
      <c r="E28" s="67">
        <f t="shared" si="7"/>
        <v>0.62</v>
      </c>
      <c r="F28" s="107">
        <v>5.771629269185895</v>
      </c>
      <c r="G28" s="106">
        <f t="shared" si="0"/>
        <v>3.3764031224737487</v>
      </c>
      <c r="H28" s="106">
        <f>+'KCH-2, p.1'!F26</f>
        <v>7.138711518402997</v>
      </c>
      <c r="I28" s="106">
        <f t="shared" si="1"/>
        <v>12.52843871479726</v>
      </c>
      <c r="J28" s="106">
        <v>98.94</v>
      </c>
      <c r="K28" s="107">
        <v>60.638841837271</v>
      </c>
      <c r="L28" s="106">
        <f t="shared" si="2"/>
        <v>102.59484183727102</v>
      </c>
      <c r="M28" s="106">
        <f t="shared" si="3"/>
        <v>69.988841837271</v>
      </c>
      <c r="N28" s="106">
        <f t="shared" si="8"/>
        <v>102.594841837271</v>
      </c>
      <c r="O28" s="109">
        <v>0.025</v>
      </c>
      <c r="R28" s="72"/>
    </row>
    <row r="29" spans="1:18" ht="12.75">
      <c r="A29" s="66">
        <v>2026</v>
      </c>
      <c r="B29" s="67">
        <f t="shared" si="4"/>
        <v>44.45</v>
      </c>
      <c r="C29" s="67">
        <f t="shared" si="5"/>
        <v>33.08</v>
      </c>
      <c r="D29" s="105">
        <f t="shared" si="6"/>
        <v>9.58</v>
      </c>
      <c r="E29" s="67">
        <f t="shared" si="7"/>
        <v>0.64</v>
      </c>
      <c r="F29" s="107">
        <v>5.8870618545696125</v>
      </c>
      <c r="G29" s="106">
        <f t="shared" si="0"/>
        <v>3.4439311849232235</v>
      </c>
      <c r="H29" s="106">
        <f>+'KCH-2, p.1'!F27</f>
        <v>7.317179306363072</v>
      </c>
      <c r="I29" s="106">
        <f t="shared" si="1"/>
        <v>12.84164968266719</v>
      </c>
      <c r="J29" s="106">
        <v>100.16</v>
      </c>
      <c r="K29" s="107">
        <v>61.505330867590416</v>
      </c>
      <c r="L29" s="106">
        <f t="shared" si="2"/>
        <v>104.03558086759043</v>
      </c>
      <c r="M29" s="106">
        <f t="shared" si="3"/>
        <v>71.08533086759041</v>
      </c>
      <c r="N29" s="106">
        <f t="shared" si="8"/>
        <v>104.03558086759043</v>
      </c>
      <c r="O29" s="109">
        <v>0.025</v>
      </c>
      <c r="R29" s="72"/>
    </row>
    <row r="30" spans="1:18" ht="12.75">
      <c r="A30" s="66">
        <v>2027</v>
      </c>
      <c r="B30" s="67">
        <f t="shared" si="4"/>
        <v>44.45</v>
      </c>
      <c r="C30" s="67">
        <f t="shared" si="5"/>
        <v>33.91</v>
      </c>
      <c r="D30" s="105">
        <f t="shared" si="6"/>
        <v>9.82</v>
      </c>
      <c r="E30" s="67">
        <f t="shared" si="7"/>
        <v>0.66</v>
      </c>
      <c r="F30" s="107">
        <v>6.004803091661005</v>
      </c>
      <c r="G30" s="106">
        <f t="shared" si="0"/>
        <v>3.5128098086216877</v>
      </c>
      <c r="H30" s="106">
        <f>+'KCH-2, p.1'!F28</f>
        <v>7.500108789022149</v>
      </c>
      <c r="I30" s="106">
        <f t="shared" si="1"/>
        <v>13.162690924733871</v>
      </c>
      <c r="J30" s="106">
        <v>101.4</v>
      </c>
      <c r="K30" s="107">
        <v>62.39250073335555</v>
      </c>
      <c r="L30" s="106">
        <f t="shared" si="2"/>
        <v>105.51550073335557</v>
      </c>
      <c r="M30" s="106">
        <f t="shared" si="3"/>
        <v>72.21250073335555</v>
      </c>
      <c r="N30" s="106">
        <f t="shared" si="8"/>
        <v>105.51550073335555</v>
      </c>
      <c r="O30" s="109">
        <v>0.025</v>
      </c>
      <c r="R30" s="72"/>
    </row>
    <row r="31" spans="1:18" ht="12.75">
      <c r="A31" s="66">
        <v>2028</v>
      </c>
      <c r="B31" s="67">
        <f t="shared" si="4"/>
        <v>44.45</v>
      </c>
      <c r="C31" s="67">
        <f t="shared" si="5"/>
        <v>34.76</v>
      </c>
      <c r="D31" s="105">
        <f t="shared" si="6"/>
        <v>10.07</v>
      </c>
      <c r="E31" s="67">
        <f t="shared" si="7"/>
        <v>0.68</v>
      </c>
      <c r="F31" s="107">
        <v>6.124899153494225</v>
      </c>
      <c r="G31" s="106">
        <f t="shared" si="0"/>
        <v>3.583066004794122</v>
      </c>
      <c r="H31" s="106">
        <f>+'KCH-2, p.1'!F29</f>
        <v>7.687611508747698</v>
      </c>
      <c r="I31" s="106">
        <f t="shared" si="1"/>
        <v>13.491758197852208</v>
      </c>
      <c r="J31" s="106">
        <v>102.66</v>
      </c>
      <c r="K31" s="107">
        <v>63.30057420264633</v>
      </c>
      <c r="L31" s="106">
        <f t="shared" si="2"/>
        <v>107.03482420264633</v>
      </c>
      <c r="M31" s="106">
        <f t="shared" si="3"/>
        <v>73.37057420264632</v>
      </c>
      <c r="N31" s="106">
        <f t="shared" si="8"/>
        <v>107.03482420264633</v>
      </c>
      <c r="O31" s="109">
        <v>0.025</v>
      </c>
      <c r="R31" s="72"/>
    </row>
    <row r="32" spans="1:18" ht="12.75">
      <c r="A32" s="66">
        <v>2029</v>
      </c>
      <c r="B32" s="67">
        <f t="shared" si="4"/>
        <v>44.45</v>
      </c>
      <c r="C32" s="67">
        <f t="shared" si="5"/>
        <v>35.63</v>
      </c>
      <c r="D32" s="105">
        <f t="shared" si="6"/>
        <v>10.32</v>
      </c>
      <c r="E32" s="67">
        <f t="shared" si="7"/>
        <v>0.7</v>
      </c>
      <c r="F32" s="107">
        <v>6.24739713656411</v>
      </c>
      <c r="G32" s="106">
        <f t="shared" si="0"/>
        <v>3.6547273248900045</v>
      </c>
      <c r="H32" s="106">
        <f>+'KCH-2, p.1'!F30</f>
        <v>7.841363738922651</v>
      </c>
      <c r="I32" s="106">
        <f t="shared" si="1"/>
        <v>13.761593361809254</v>
      </c>
      <c r="J32" s="106">
        <v>103.9</v>
      </c>
      <c r="K32" s="107">
        <v>64.16232068669927</v>
      </c>
      <c r="L32" s="106">
        <f t="shared" si="2"/>
        <v>108.51632068669926</v>
      </c>
      <c r="M32" s="106">
        <f t="shared" si="3"/>
        <v>74.48232068669927</v>
      </c>
      <c r="N32" s="106">
        <f t="shared" si="8"/>
        <v>108.51632068669926</v>
      </c>
      <c r="O32" s="109">
        <v>0.025</v>
      </c>
      <c r="R32" s="72"/>
    </row>
    <row r="33" spans="1:18" ht="12.75">
      <c r="A33" s="66">
        <v>2030</v>
      </c>
      <c r="B33" s="67">
        <f t="shared" si="4"/>
        <v>44.45</v>
      </c>
      <c r="C33" s="67">
        <f t="shared" si="5"/>
        <v>36.52</v>
      </c>
      <c r="D33" s="105">
        <f t="shared" si="6"/>
        <v>10.58</v>
      </c>
      <c r="E33" s="67">
        <f t="shared" si="7"/>
        <v>0.72</v>
      </c>
      <c r="F33" s="107">
        <v>6.372345079295392</v>
      </c>
      <c r="G33" s="106">
        <f t="shared" si="0"/>
        <v>3.727821871387804</v>
      </c>
      <c r="H33" s="106">
        <f>+'KCH-2, p.1'!F31</f>
        <v>7.9981910137011045</v>
      </c>
      <c r="I33" s="106">
        <f t="shared" si="1"/>
        <v>14.036825229045439</v>
      </c>
      <c r="J33" s="106">
        <v>105.15</v>
      </c>
      <c r="K33" s="107">
        <v>65.04239710043325</v>
      </c>
      <c r="L33" s="106">
        <f t="shared" si="2"/>
        <v>110.03464710043325</v>
      </c>
      <c r="M33" s="106">
        <f t="shared" si="3"/>
        <v>75.62239710043323</v>
      </c>
      <c r="N33" s="106">
        <f t="shared" si="8"/>
        <v>110.03464710043323</v>
      </c>
      <c r="O33" s="109">
        <v>0.025</v>
      </c>
      <c r="R33" s="72"/>
    </row>
    <row r="34" spans="1:18" ht="12.75">
      <c r="A34" s="66">
        <v>2031</v>
      </c>
      <c r="B34" s="67">
        <f t="shared" si="4"/>
        <v>44.45</v>
      </c>
      <c r="C34" s="67">
        <f t="shared" si="5"/>
        <v>37.43</v>
      </c>
      <c r="D34" s="105">
        <f t="shared" si="6"/>
        <v>10.84</v>
      </c>
      <c r="E34" s="67">
        <f t="shared" si="7"/>
        <v>0.74</v>
      </c>
      <c r="F34" s="107">
        <v>6.4997919808813</v>
      </c>
      <c r="G34" s="106">
        <f t="shared" si="0"/>
        <v>3.8023783088155607</v>
      </c>
      <c r="H34" s="106">
        <f>+'KCH-2, p.1'!F32</f>
        <v>8.158154833975127</v>
      </c>
      <c r="I34" s="106">
        <f t="shared" si="1"/>
        <v>14.317561733626347</v>
      </c>
      <c r="J34" s="106">
        <v>106.44</v>
      </c>
      <c r="K34" s="107">
        <v>65.94094004244191</v>
      </c>
      <c r="L34" s="106">
        <f t="shared" si="2"/>
        <v>111.5799400424419</v>
      </c>
      <c r="M34" s="106">
        <f t="shared" si="3"/>
        <v>76.7809400424419</v>
      </c>
      <c r="N34" s="106">
        <f t="shared" si="8"/>
        <v>111.5799400424419</v>
      </c>
      <c r="O34" s="109">
        <v>0.025</v>
      </c>
      <c r="R34" s="72"/>
    </row>
    <row r="35" spans="1:18" ht="12.75">
      <c r="A35" s="66">
        <v>2032</v>
      </c>
      <c r="B35" s="67">
        <f t="shared" si="4"/>
        <v>44.45</v>
      </c>
      <c r="C35" s="67">
        <f t="shared" si="5"/>
        <v>38.37</v>
      </c>
      <c r="D35" s="105">
        <f t="shared" si="6"/>
        <v>11.11</v>
      </c>
      <c r="E35" s="67">
        <f t="shared" si="7"/>
        <v>0.76</v>
      </c>
      <c r="F35" s="107">
        <v>6.629787820498926</v>
      </c>
      <c r="G35" s="106">
        <f t="shared" si="0"/>
        <v>3.878425874991872</v>
      </c>
      <c r="H35" s="106">
        <f>+'KCH-2, p.1'!F33</f>
        <v>8.32131793065463</v>
      </c>
      <c r="I35" s="106">
        <f t="shared" si="1"/>
        <v>14.603912968298875</v>
      </c>
      <c r="J35" s="106">
        <v>107.76</v>
      </c>
      <c r="K35" s="107">
        <v>66.86383884329074</v>
      </c>
      <c r="L35" s="106">
        <f t="shared" si="2"/>
        <v>113.17233884329075</v>
      </c>
      <c r="M35" s="106">
        <f t="shared" si="3"/>
        <v>77.97383884329074</v>
      </c>
      <c r="N35" s="106">
        <f t="shared" si="8"/>
        <v>113.17233884329075</v>
      </c>
      <c r="O35" s="109">
        <v>0.025</v>
      </c>
      <c r="R35" s="72"/>
    </row>
    <row r="36" spans="1:18" ht="12.75">
      <c r="A36" s="66">
        <v>2033</v>
      </c>
      <c r="B36" s="67">
        <f t="shared" si="4"/>
        <v>44.45</v>
      </c>
      <c r="C36" s="67">
        <f t="shared" si="5"/>
        <v>39.33</v>
      </c>
      <c r="D36" s="105">
        <f t="shared" si="6"/>
        <v>11.39</v>
      </c>
      <c r="E36" s="67">
        <f t="shared" si="7"/>
        <v>0.78</v>
      </c>
      <c r="F36" s="107">
        <v>6.7623835769089045</v>
      </c>
      <c r="G36" s="106">
        <f t="shared" si="0"/>
        <v>3.9559943924917094</v>
      </c>
      <c r="H36" s="106">
        <f>+'KCH-2, p.1'!F34</f>
        <v>8.487744289267722</v>
      </c>
      <c r="I36" s="106">
        <f t="shared" si="1"/>
        <v>14.895991227664853</v>
      </c>
      <c r="J36" s="106">
        <v>109.11</v>
      </c>
      <c r="K36" s="107">
        <v>67.80548562015656</v>
      </c>
      <c r="L36" s="106">
        <f t="shared" si="2"/>
        <v>114.80198562015657</v>
      </c>
      <c r="M36" s="106">
        <f t="shared" si="3"/>
        <v>79.19548562015656</v>
      </c>
      <c r="N36" s="106">
        <f t="shared" si="8"/>
        <v>114.80198562015656</v>
      </c>
      <c r="O36" s="109">
        <v>0.025</v>
      </c>
      <c r="R36" s="72"/>
    </row>
    <row r="37" spans="1:18" ht="12.75">
      <c r="A37" s="66"/>
      <c r="B37" s="67"/>
      <c r="C37" s="67"/>
      <c r="D37" s="80"/>
      <c r="E37" s="67"/>
      <c r="F37" s="74"/>
      <c r="G37" s="68"/>
      <c r="H37" s="68"/>
      <c r="I37" s="68"/>
      <c r="J37" s="69"/>
      <c r="K37" s="74"/>
      <c r="L37" s="68"/>
      <c r="M37" s="68"/>
      <c r="O37" s="71"/>
      <c r="R37" s="72"/>
    </row>
    <row r="38" spans="1:18" ht="12.75">
      <c r="A38" s="77" t="s">
        <v>196</v>
      </c>
      <c r="B38" s="67"/>
      <c r="C38" s="67"/>
      <c r="D38" s="80"/>
      <c r="E38" s="67"/>
      <c r="F38" s="74"/>
      <c r="G38" s="68"/>
      <c r="H38" s="68"/>
      <c r="I38" s="68"/>
      <c r="J38" s="69"/>
      <c r="K38" s="74"/>
      <c r="L38" s="68"/>
      <c r="M38" s="68"/>
      <c r="O38" s="71"/>
      <c r="R38" s="72"/>
    </row>
    <row r="39" spans="1:18" ht="12.75">
      <c r="A39" s="77" t="s">
        <v>187</v>
      </c>
      <c r="B39" s="67"/>
      <c r="C39" s="67"/>
      <c r="D39" s="80"/>
      <c r="E39" s="67"/>
      <c r="F39" s="74"/>
      <c r="G39" s="68"/>
      <c r="H39" s="68"/>
      <c r="I39" s="68"/>
      <c r="J39" s="69"/>
      <c r="K39" s="74"/>
      <c r="L39" s="68"/>
      <c r="M39" s="68"/>
      <c r="O39" s="71"/>
      <c r="R39" s="72"/>
    </row>
    <row r="40" spans="1:18" ht="12.75">
      <c r="A40" s="77" t="s">
        <v>179</v>
      </c>
      <c r="B40" s="67"/>
      <c r="C40" s="67"/>
      <c r="D40" s="80"/>
      <c r="E40" s="67"/>
      <c r="F40" s="74"/>
      <c r="G40" s="68"/>
      <c r="H40" s="68"/>
      <c r="I40" s="68"/>
      <c r="J40" s="69"/>
      <c r="K40" s="74"/>
      <c r="L40" s="68"/>
      <c r="M40" s="68"/>
      <c r="O40" s="71"/>
      <c r="R40" s="72"/>
    </row>
    <row r="41" spans="1:18" ht="12.75">
      <c r="A41" s="77" t="s">
        <v>188</v>
      </c>
      <c r="B41" s="67"/>
      <c r="C41" s="67"/>
      <c r="D41" s="80"/>
      <c r="E41" s="67"/>
      <c r="F41" s="74"/>
      <c r="G41" s="68"/>
      <c r="H41" s="68"/>
      <c r="I41" s="68"/>
      <c r="J41" s="69"/>
      <c r="K41" s="74"/>
      <c r="L41" s="68"/>
      <c r="M41" s="68"/>
      <c r="O41" s="71"/>
      <c r="R41" s="72"/>
    </row>
    <row r="42" spans="1:15" ht="12.75">
      <c r="A42" s="66"/>
      <c r="O42" s="49"/>
    </row>
    <row r="43" spans="2:18" ht="12.75">
      <c r="B43" s="1" t="s">
        <v>115</v>
      </c>
      <c r="C43" s="1" t="s">
        <v>104</v>
      </c>
      <c r="D43" s="1" t="s">
        <v>105</v>
      </c>
      <c r="E43" s="1" t="s">
        <v>116</v>
      </c>
      <c r="F43" s="1"/>
      <c r="G43" s="1" t="s">
        <v>117</v>
      </c>
      <c r="H43" s="1"/>
      <c r="R43" s="72"/>
    </row>
    <row r="44" spans="2:18" ht="12.75">
      <c r="B44" s="1" t="s">
        <v>118</v>
      </c>
      <c r="C44" s="1" t="s">
        <v>119</v>
      </c>
      <c r="D44" s="1" t="s">
        <v>119</v>
      </c>
      <c r="E44" s="1" t="s">
        <v>112</v>
      </c>
      <c r="F44" s="1"/>
      <c r="G44" s="1" t="s">
        <v>120</v>
      </c>
      <c r="H44" s="1"/>
      <c r="R44" s="73"/>
    </row>
    <row r="45" spans="1:8" ht="12.75">
      <c r="A45" s="2" t="s">
        <v>137</v>
      </c>
      <c r="B45" s="126">
        <f>441*1.025</f>
        <v>452.025</v>
      </c>
      <c r="C45" s="106">
        <f>18.74*1.025</f>
        <v>19.208499999999997</v>
      </c>
      <c r="D45" s="107">
        <f>(0.011+0.0013)*B45</f>
        <v>5.559907499999999</v>
      </c>
      <c r="E45" s="127">
        <v>2</v>
      </c>
      <c r="F45" s="127"/>
      <c r="G45" s="128">
        <v>11700</v>
      </c>
      <c r="H45" s="70"/>
    </row>
    <row r="46" spans="1:8" ht="12.75">
      <c r="A46" s="2" t="s">
        <v>122</v>
      </c>
      <c r="B46" s="126"/>
      <c r="C46" s="106"/>
      <c r="D46" s="107"/>
      <c r="E46" s="127"/>
      <c r="F46" s="127"/>
      <c r="G46" s="128"/>
      <c r="H46" s="70"/>
    </row>
    <row r="47" spans="2:7" ht="12.75">
      <c r="B47" s="110"/>
      <c r="C47" s="110"/>
      <c r="D47" s="110"/>
      <c r="E47" s="110"/>
      <c r="F47" s="110"/>
      <c r="G47" s="110"/>
    </row>
    <row r="48" spans="1:7" ht="12.75">
      <c r="A48" s="2" t="s">
        <v>138</v>
      </c>
      <c r="B48" s="75">
        <f>-PMT(B51,30,1)</f>
        <v>0.09834019449720481</v>
      </c>
      <c r="C48" s="110"/>
      <c r="D48" s="110"/>
      <c r="E48" s="110"/>
      <c r="F48" s="110"/>
      <c r="G48" s="110"/>
    </row>
    <row r="49" spans="1:7" ht="12.75">
      <c r="A49" s="2" t="s">
        <v>184</v>
      </c>
      <c r="B49" s="133">
        <v>50</v>
      </c>
      <c r="C49" s="110"/>
      <c r="D49" s="110"/>
      <c r="E49" s="110"/>
      <c r="F49" s="110"/>
      <c r="G49" s="110"/>
    </row>
    <row r="50" spans="1:7" ht="12.75">
      <c r="A50" s="2" t="s">
        <v>185</v>
      </c>
      <c r="B50" s="133">
        <v>200</v>
      </c>
      <c r="C50" s="109"/>
      <c r="D50" s="110"/>
      <c r="E50" s="110"/>
      <c r="F50" s="110"/>
      <c r="G50" s="110"/>
    </row>
    <row r="51" spans="1:7" ht="12.75">
      <c r="A51" s="2" t="s">
        <v>186</v>
      </c>
      <c r="B51" s="75">
        <f>+D59</f>
        <v>0.0911612</v>
      </c>
      <c r="C51" s="110"/>
      <c r="D51" s="110"/>
      <c r="E51" s="110"/>
      <c r="F51" s="110"/>
      <c r="G51" s="110"/>
    </row>
    <row r="52" spans="1:7" ht="12.75">
      <c r="A52" s="2" t="s">
        <v>139</v>
      </c>
      <c r="B52" s="75">
        <v>0.15</v>
      </c>
      <c r="C52" s="110"/>
      <c r="D52" s="110"/>
      <c r="E52" s="110"/>
      <c r="F52" s="110"/>
      <c r="G52" s="110"/>
    </row>
    <row r="53" spans="2:7" ht="12.75">
      <c r="B53" s="110"/>
      <c r="C53" s="110"/>
      <c r="D53" s="110"/>
      <c r="E53" s="110"/>
      <c r="F53" s="110"/>
      <c r="G53" s="110"/>
    </row>
    <row r="54" spans="2:13" ht="12.75">
      <c r="B54" s="110"/>
      <c r="C54" s="110"/>
      <c r="D54" s="110"/>
      <c r="E54" s="110"/>
      <c r="F54" s="110"/>
      <c r="G54" s="110"/>
      <c r="J54" s="2" t="s">
        <v>125</v>
      </c>
      <c r="K54" s="2" t="s">
        <v>125</v>
      </c>
      <c r="M54" s="2"/>
    </row>
    <row r="55" spans="1:9" ht="12.75">
      <c r="A55" s="2" t="s">
        <v>126</v>
      </c>
      <c r="B55" s="110"/>
      <c r="C55" s="110"/>
      <c r="D55" s="110"/>
      <c r="E55" s="110"/>
      <c r="F55" s="110"/>
      <c r="G55" s="110"/>
      <c r="I55" s="66"/>
    </row>
    <row r="56" spans="1:16" ht="12.75">
      <c r="A56" s="2" t="s">
        <v>127</v>
      </c>
      <c r="B56" s="81">
        <f>+'KCH-2, p.1'!B49</f>
        <v>0.5496</v>
      </c>
      <c r="C56" s="81">
        <f>+'KCH-2, p.1'!C49</f>
        <v>0.0696</v>
      </c>
      <c r="D56" s="81">
        <f>+'KCH-2, p.1'!D49</f>
        <v>0.03825215999999999</v>
      </c>
      <c r="E56" s="110"/>
      <c r="F56" s="110"/>
      <c r="G56" s="110"/>
      <c r="I56" s="34" t="s">
        <v>130</v>
      </c>
      <c r="J56" s="76">
        <f>-PMT($B$51,COUNT(A7:A36),(J7+NPV($B$51,J8:J36)))</f>
        <v>94.97945388631823</v>
      </c>
      <c r="K56" s="76">
        <f>-PMT($B$51,COUNT(A7:A36),(K7+NPV($B$51,K8:K36)))</f>
        <v>56.946279771652726</v>
      </c>
      <c r="L56" s="76">
        <f>-PMT($B$51,COUNT(A7:A36),(L7+NPV($B$51,L8:L36)))</f>
        <v>96.41351553953221</v>
      </c>
      <c r="M56" s="76">
        <f>-PMT($B$51,COUNT(A7:A36),(M7+NPV($B$51,M8:M36)))</f>
        <v>64.58700417359438</v>
      </c>
      <c r="N56" s="76">
        <f>-PMT($B$51,COUNT(A7:A36),(N7+NPV($B$51,N8:N36)))</f>
        <v>96.41351553953221</v>
      </c>
      <c r="O56" s="76"/>
      <c r="P56" s="76"/>
    </row>
    <row r="57" spans="1:13" ht="12.75">
      <c r="A57" s="2" t="s">
        <v>129</v>
      </c>
      <c r="B57" s="81">
        <f>+'KCH-2, p.1'!B50</f>
        <v>0.0004</v>
      </c>
      <c r="C57" s="81">
        <f>+'KCH-2, p.1'!C50</f>
        <v>0.0851</v>
      </c>
      <c r="D57" s="81">
        <f>+'KCH-2, p.1'!D50</f>
        <v>3.404E-05</v>
      </c>
      <c r="E57" s="110"/>
      <c r="F57" s="110"/>
      <c r="G57" s="110"/>
      <c r="J57" s="76"/>
      <c r="K57" s="76"/>
      <c r="L57" s="76"/>
      <c r="M57" s="76"/>
    </row>
    <row r="58" spans="1:7" ht="12.75">
      <c r="A58" s="2" t="s">
        <v>131</v>
      </c>
      <c r="B58" s="82">
        <f>+'KCH-2, p.1'!B51</f>
        <v>0.45</v>
      </c>
      <c r="C58" s="131">
        <f>+'KCH-2, p.1'!C51</f>
        <v>0.1175</v>
      </c>
      <c r="D58" s="82">
        <f>+'KCH-2, p.1'!D51</f>
        <v>0.052875</v>
      </c>
      <c r="E58" s="132"/>
      <c r="F58" s="132"/>
      <c r="G58" s="132"/>
    </row>
    <row r="59" spans="1:7" ht="12.75">
      <c r="A59" s="2" t="s">
        <v>108</v>
      </c>
      <c r="B59" s="134">
        <f>SUM(B56:B58)</f>
        <v>1</v>
      </c>
      <c r="C59" s="134"/>
      <c r="D59" s="134">
        <f>SUM(D56:D58)</f>
        <v>0.0911612</v>
      </c>
      <c r="E59" s="132"/>
      <c r="F59" s="132"/>
      <c r="G59" s="132"/>
    </row>
  </sheetData>
  <printOptions horizontalCentered="1"/>
  <pageMargins left="0.75" right="0.75" top="1.25" bottom="1" header="0.5" footer="0.5"/>
  <pageSetup fitToHeight="1" fitToWidth="1" horizontalDpi="600" verticalDpi="600" orientation="landscape" scale="61" r:id="rId3"/>
  <headerFooter alignWithMargins="0">
    <oddHeader>&amp;C&amp;"Arial,Bold"&amp;14Calculation of Peak Credit using 100% of CT Capital and Fixed O&amp;&amp;M Costs&amp;R&amp;"Arial,Bold"EXHIBIT NO.____ (KCH-2)
DOCKET NO. UG-040640/UE-040641
2004 PSE GENERAL RATE CASE
WITNESS:  KEVIN C. HIGGINS
PAGE 2 OF 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3" sqref="A3"/>
    </sheetView>
  </sheetViews>
  <sheetFormatPr defaultColWidth="9.140625" defaultRowHeight="12.75"/>
  <cols>
    <col min="1" max="1" width="23.421875" style="0" customWidth="1"/>
    <col min="2" max="2" width="11.57421875" style="0" customWidth="1"/>
  </cols>
  <sheetData>
    <row r="1" spans="1:12" ht="18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>
      <c r="A2" s="139" t="s">
        <v>197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5" ht="12.75">
      <c r="A5" s="2" t="s">
        <v>141</v>
      </c>
    </row>
    <row r="6" ht="12.75">
      <c r="A6" s="2" t="s">
        <v>148</v>
      </c>
    </row>
    <row r="8" spans="2:5" ht="12.75">
      <c r="B8" s="1" t="s">
        <v>142</v>
      </c>
      <c r="C8" s="1" t="s">
        <v>133</v>
      </c>
      <c r="D8" s="1" t="s">
        <v>143</v>
      </c>
      <c r="E8" s="1" t="s">
        <v>133</v>
      </c>
    </row>
    <row r="9" spans="2:5" ht="12.75">
      <c r="B9" s="1" t="s">
        <v>144</v>
      </c>
      <c r="C9" s="1" t="s">
        <v>145</v>
      </c>
      <c r="D9" s="1" t="s">
        <v>145</v>
      </c>
      <c r="E9" s="1" t="s">
        <v>135</v>
      </c>
    </row>
    <row r="10" spans="1:4" ht="12.75">
      <c r="A10" s="77" t="s">
        <v>128</v>
      </c>
      <c r="D10" s="68">
        <f>+'KCH-2, p.1'!I49</f>
        <v>59.798782469606216</v>
      </c>
    </row>
    <row r="11" spans="1:5" ht="12.75">
      <c r="A11" s="77" t="s">
        <v>130</v>
      </c>
      <c r="B11" s="68">
        <f>+'KCH-2, p.2'!J56</f>
        <v>94.97945388631823</v>
      </c>
      <c r="C11" s="68">
        <f>+'KCH-2, p.2'!K56</f>
        <v>56.946279771652726</v>
      </c>
      <c r="D11" s="68">
        <f>+'KCH-2, p.1'!I50</f>
        <v>445.2617342686879</v>
      </c>
      <c r="E11" s="83">
        <f>+C11/D11</f>
        <v>0.12789394504152285</v>
      </c>
    </row>
    <row r="14" ht="15.75">
      <c r="A14" s="84" t="s">
        <v>141</v>
      </c>
    </row>
    <row r="15" ht="15.75">
      <c r="A15" s="84" t="s">
        <v>149</v>
      </c>
    </row>
    <row r="17" spans="2:5" ht="12.75">
      <c r="B17" s="1" t="s">
        <v>142</v>
      </c>
      <c r="C17" s="1" t="s">
        <v>133</v>
      </c>
      <c r="D17" s="1" t="s">
        <v>143</v>
      </c>
      <c r="E17" s="1" t="s">
        <v>133</v>
      </c>
    </row>
    <row r="18" spans="2:5" ht="12.75">
      <c r="B18" s="1" t="s">
        <v>144</v>
      </c>
      <c r="C18" s="1" t="s">
        <v>145</v>
      </c>
      <c r="D18" s="1" t="s">
        <v>145</v>
      </c>
      <c r="E18" s="1" t="s">
        <v>135</v>
      </c>
    </row>
    <row r="19" spans="1:4" ht="12.75">
      <c r="A19" s="77" t="s">
        <v>128</v>
      </c>
      <c r="D19" s="68">
        <f>+'KCH-2, p.1'!H49</f>
        <v>60.85174285810598</v>
      </c>
    </row>
    <row r="20" spans="1:5" ht="12.75">
      <c r="A20" s="77" t="s">
        <v>130</v>
      </c>
      <c r="B20" s="68">
        <f>+'KCH-2, p.2'!L56</f>
        <v>96.41351553953221</v>
      </c>
      <c r="C20" s="68">
        <f>+'KCH-2, p.2'!M56</f>
        <v>64.58700417359438</v>
      </c>
      <c r="D20" s="68">
        <f>+'KCH-2, p.1'!H50</f>
        <v>453.10207732145705</v>
      </c>
      <c r="E20" s="83">
        <f>+C20/D20</f>
        <v>0.14254404781237096</v>
      </c>
    </row>
    <row r="23" ht="15.75">
      <c r="A23" s="84" t="s">
        <v>147</v>
      </c>
    </row>
    <row r="24" ht="15.75">
      <c r="A24" s="84" t="s">
        <v>191</v>
      </c>
    </row>
    <row r="26" spans="2:5" ht="12.75">
      <c r="B26" s="1" t="s">
        <v>142</v>
      </c>
      <c r="C26" s="1" t="s">
        <v>133</v>
      </c>
      <c r="D26" s="1" t="s">
        <v>143</v>
      </c>
      <c r="E26" s="1" t="s">
        <v>133</v>
      </c>
    </row>
    <row r="27" spans="2:5" ht="12.75">
      <c r="B27" s="1" t="s">
        <v>144</v>
      </c>
      <c r="C27" s="1" t="s">
        <v>145</v>
      </c>
      <c r="D27" s="1" t="s">
        <v>145</v>
      </c>
      <c r="E27" s="1" t="s">
        <v>135</v>
      </c>
    </row>
    <row r="28" spans="1:4" ht="13.5" thickBot="1">
      <c r="A28" s="77" t="s">
        <v>128</v>
      </c>
      <c r="D28" s="68">
        <f>+'KCH-2, p.1'!H49</f>
        <v>60.85174285810598</v>
      </c>
    </row>
    <row r="29" spans="1:5" ht="13.5" thickBot="1">
      <c r="A29" s="77" t="s">
        <v>130</v>
      </c>
      <c r="B29" s="68">
        <f>+'KCH-2, p.2'!L56</f>
        <v>96.41351553953221</v>
      </c>
      <c r="C29" s="68">
        <f>+'KCH-2, p.2'!N56</f>
        <v>96.41351553953221</v>
      </c>
      <c r="D29" s="68">
        <f>+'KCH-2, p.1'!H50</f>
        <v>453.10207732145705</v>
      </c>
      <c r="E29" s="85">
        <f>+C29/D29</f>
        <v>0.21278541936838405</v>
      </c>
    </row>
  </sheetData>
  <mergeCells count="2">
    <mergeCell ref="A2:L2"/>
    <mergeCell ref="A1:L1"/>
  </mergeCells>
  <printOptions horizontalCentered="1"/>
  <pageMargins left="0.75" right="0.75" top="1.25" bottom="1" header="0.5" footer="0.5"/>
  <pageSetup fitToHeight="1" fitToWidth="1" horizontalDpi="600" verticalDpi="600" orientation="landscape" scale="97" r:id="rId1"/>
  <headerFooter alignWithMargins="0">
    <oddHeader>&amp;C&amp;"Arial,Bold"&amp;11Calculation of Peak Credit using 100% of CT Capital and Fixed O&amp;&amp;M Costs&amp;R&amp;"Arial,Bold"&amp;7EXHIBIT NO.____ (KCH-2)
DOCKET NO. UG-040640/UE-040641
2004 PSE GENERAL RATE CASE
WITNESS:  KEVIN C. HIGGINS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3" sqref="A3"/>
    </sheetView>
  </sheetViews>
  <sheetFormatPr defaultColWidth="9.140625" defaultRowHeight="12.75"/>
  <cols>
    <col min="1" max="1" width="39.8515625" style="87" customWidth="1"/>
    <col min="2" max="2" width="2.28125" style="87" customWidth="1"/>
    <col min="3" max="3" width="14.57421875" style="87" bestFit="1" customWidth="1"/>
    <col min="4" max="12" width="12.421875" style="87" customWidth="1"/>
    <col min="13" max="16384" width="8.00390625" style="87" customWidth="1"/>
  </cols>
  <sheetData>
    <row r="1" spans="1:12" ht="15.75">
      <c r="A1" s="141" t="s">
        <v>172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>
      <c r="A2" s="141" t="s">
        <v>189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ht="12" thickBot="1"/>
    <row r="4" spans="3:12" ht="22.5" thickTop="1">
      <c r="C4" s="88"/>
      <c r="D4" s="89" t="s">
        <v>150</v>
      </c>
      <c r="E4" s="90" t="s">
        <v>150</v>
      </c>
      <c r="F4" s="90" t="s">
        <v>150</v>
      </c>
      <c r="G4" s="90" t="s">
        <v>150</v>
      </c>
      <c r="H4" s="90" t="s">
        <v>150</v>
      </c>
      <c r="I4" s="90" t="s">
        <v>150</v>
      </c>
      <c r="J4" s="90" t="s">
        <v>150</v>
      </c>
      <c r="K4" s="90" t="s">
        <v>150</v>
      </c>
      <c r="L4" s="90" t="s">
        <v>150</v>
      </c>
    </row>
    <row r="5" spans="3:12" ht="21.75">
      <c r="C5" s="91" t="s">
        <v>108</v>
      </c>
      <c r="D5" s="92" t="s">
        <v>151</v>
      </c>
      <c r="E5" s="93" t="s">
        <v>152</v>
      </c>
      <c r="F5" s="93" t="s">
        <v>153</v>
      </c>
      <c r="G5" s="93" t="s">
        <v>154</v>
      </c>
      <c r="H5" s="93" t="s">
        <v>155</v>
      </c>
      <c r="I5" s="93" t="s">
        <v>156</v>
      </c>
      <c r="J5" s="93" t="s">
        <v>157</v>
      </c>
      <c r="K5" s="93" t="s">
        <v>158</v>
      </c>
      <c r="L5" s="93" t="s">
        <v>159</v>
      </c>
    </row>
    <row r="6" spans="3:12" ht="12" thickBot="1">
      <c r="C6" s="94" t="s">
        <v>160</v>
      </c>
      <c r="D6" s="95"/>
      <c r="E6" s="96"/>
      <c r="F6" s="96"/>
      <c r="G6" s="96"/>
      <c r="H6" s="96"/>
      <c r="I6" s="96"/>
      <c r="J6" s="96"/>
      <c r="K6" s="96"/>
      <c r="L6" s="96"/>
    </row>
    <row r="7" spans="1:12" ht="12" thickTop="1">
      <c r="A7" s="87" t="s">
        <v>161</v>
      </c>
      <c r="C7" s="97">
        <v>1475010681.1699998</v>
      </c>
      <c r="D7" s="97">
        <v>798727883.0681025</v>
      </c>
      <c r="E7" s="97">
        <v>181033707.34844363</v>
      </c>
      <c r="F7" s="97">
        <v>210328223.41746116</v>
      </c>
      <c r="G7" s="97">
        <v>123599197.74539772</v>
      </c>
      <c r="H7" s="97">
        <v>113015644.18767448</v>
      </c>
      <c r="I7" s="97">
        <v>9797771.290527247</v>
      </c>
      <c r="J7" s="97">
        <v>23556321.53678088</v>
      </c>
      <c r="K7" s="97">
        <v>13093247.505351216</v>
      </c>
      <c r="L7" s="97">
        <v>1858685.0702611168</v>
      </c>
    </row>
    <row r="9" spans="1:12" ht="11.25">
      <c r="A9" s="98" t="s">
        <v>162</v>
      </c>
      <c r="C9" s="97">
        <v>1283190396.03</v>
      </c>
      <c r="D9" s="97">
        <v>711476371.0617292</v>
      </c>
      <c r="E9" s="97">
        <v>154858005.94974393</v>
      </c>
      <c r="F9" s="97">
        <v>170333764.31417114</v>
      </c>
      <c r="G9" s="97">
        <v>104726993.5480212</v>
      </c>
      <c r="H9" s="97">
        <v>99706108.72958148</v>
      </c>
      <c r="I9" s="97">
        <v>6463164.80156393</v>
      </c>
      <c r="J9" s="97">
        <v>22505380.265623126</v>
      </c>
      <c r="K9" s="97">
        <v>11734030.318886956</v>
      </c>
      <c r="L9" s="97">
        <v>1386577.0406791812</v>
      </c>
    </row>
    <row r="11" spans="1:12" ht="11.25">
      <c r="A11" s="87" t="s">
        <v>163</v>
      </c>
      <c r="C11" s="99">
        <f aca="true" t="shared" si="0" ref="C11:L11">+C7-C9</f>
        <v>191820285.13999987</v>
      </c>
      <c r="D11" s="99">
        <f t="shared" si="0"/>
        <v>87251512.00637329</v>
      </c>
      <c r="E11" s="99">
        <f t="shared" si="0"/>
        <v>26175701.3986997</v>
      </c>
      <c r="F11" s="99">
        <f t="shared" si="0"/>
        <v>39994459.10329002</v>
      </c>
      <c r="G11" s="99">
        <f t="shared" si="0"/>
        <v>18872204.19737652</v>
      </c>
      <c r="H11" s="99">
        <f t="shared" si="0"/>
        <v>13309535.458093002</v>
      </c>
      <c r="I11" s="99">
        <f t="shared" si="0"/>
        <v>3334606.488963317</v>
      </c>
      <c r="J11" s="99">
        <f t="shared" si="0"/>
        <v>1050941.2711577527</v>
      </c>
      <c r="K11" s="99">
        <f t="shared" si="0"/>
        <v>1359217.1864642594</v>
      </c>
      <c r="L11" s="99">
        <f t="shared" si="0"/>
        <v>472108.0295819356</v>
      </c>
    </row>
    <row r="13" spans="1:12" ht="11.25">
      <c r="A13" s="87" t="s">
        <v>164</v>
      </c>
      <c r="C13" s="97">
        <v>2658121664.0000005</v>
      </c>
      <c r="D13" s="97">
        <v>1580557782.0579581</v>
      </c>
      <c r="E13" s="97">
        <v>317520091.84013027</v>
      </c>
      <c r="F13" s="97">
        <v>314417654.74581665</v>
      </c>
      <c r="G13" s="97">
        <v>173573813.0585633</v>
      </c>
      <c r="H13" s="97">
        <v>174782663.09645185</v>
      </c>
      <c r="I13" s="97">
        <v>26724215.778529823</v>
      </c>
      <c r="J13" s="97">
        <v>31266129.68297273</v>
      </c>
      <c r="K13" s="97">
        <v>32829686.087174848</v>
      </c>
      <c r="L13" s="97">
        <v>6449627.652402708</v>
      </c>
    </row>
    <row r="15" spans="1:12" ht="11.25">
      <c r="A15" s="86" t="s">
        <v>165</v>
      </c>
      <c r="C15" s="100">
        <f aca="true" t="shared" si="1" ref="C15:L15">+C11/C13</f>
        <v>0.07216384702698087</v>
      </c>
      <c r="D15" s="100">
        <f t="shared" si="1"/>
        <v>0.05520298782925092</v>
      </c>
      <c r="E15" s="100">
        <f t="shared" si="1"/>
        <v>0.08243793722470649</v>
      </c>
      <c r="F15" s="100">
        <f t="shared" si="1"/>
        <v>0.12720169653203023</v>
      </c>
      <c r="G15" s="100">
        <f t="shared" si="1"/>
        <v>0.10872725479049708</v>
      </c>
      <c r="H15" s="100">
        <f t="shared" si="1"/>
        <v>0.07614905976543157</v>
      </c>
      <c r="I15" s="100">
        <f t="shared" si="1"/>
        <v>0.12477845997794752</v>
      </c>
      <c r="J15" s="100">
        <f t="shared" si="1"/>
        <v>0.03361277144993378</v>
      </c>
      <c r="K15" s="100">
        <f t="shared" si="1"/>
        <v>0.041402076853706116</v>
      </c>
      <c r="L15" s="100">
        <f t="shared" si="1"/>
        <v>0.073199269016105</v>
      </c>
    </row>
    <row r="17" spans="1:12" ht="11.25">
      <c r="A17" s="87" t="s">
        <v>166</v>
      </c>
      <c r="C17" s="97">
        <v>242420696.18560004</v>
      </c>
      <c r="D17" s="97">
        <v>144146869.9786565</v>
      </c>
      <c r="E17" s="97">
        <v>28957832.42704124</v>
      </c>
      <c r="F17" s="97">
        <v>28674890.163539365</v>
      </c>
      <c r="G17" s="97">
        <v>15829931.778941363</v>
      </c>
      <c r="H17" s="97">
        <v>15940178.902591811</v>
      </c>
      <c r="I17" s="97">
        <v>2437248.4833129877</v>
      </c>
      <c r="J17" s="97">
        <v>2851471.0321308686</v>
      </c>
      <c r="K17" s="97">
        <v>2994067.37644633</v>
      </c>
      <c r="L17" s="97">
        <v>588206.0429395611</v>
      </c>
    </row>
    <row r="19" spans="1:12" ht="11.25">
      <c r="A19" s="87" t="s">
        <v>167</v>
      </c>
      <c r="C19" s="99">
        <f aca="true" t="shared" si="2" ref="C19:L19">+C9+C17</f>
        <v>1525611092.2156</v>
      </c>
      <c r="D19" s="99">
        <f t="shared" si="2"/>
        <v>855623241.0403857</v>
      </c>
      <c r="E19" s="99">
        <f t="shared" si="2"/>
        <v>183815838.37678516</v>
      </c>
      <c r="F19" s="99">
        <f t="shared" si="2"/>
        <v>199008654.4777105</v>
      </c>
      <c r="G19" s="99">
        <f t="shared" si="2"/>
        <v>120556925.32696256</v>
      </c>
      <c r="H19" s="99">
        <f t="shared" si="2"/>
        <v>115646287.63217328</v>
      </c>
      <c r="I19" s="99">
        <f t="shared" si="2"/>
        <v>8900413.284876917</v>
      </c>
      <c r="J19" s="99">
        <f t="shared" si="2"/>
        <v>25356851.297753993</v>
      </c>
      <c r="K19" s="99">
        <f t="shared" si="2"/>
        <v>14728097.695333287</v>
      </c>
      <c r="L19" s="99">
        <f t="shared" si="2"/>
        <v>1974783.0836187424</v>
      </c>
    </row>
    <row r="21" spans="1:12" ht="11.25">
      <c r="A21" s="87" t="s">
        <v>168</v>
      </c>
      <c r="C21" s="99">
        <f aca="true" t="shared" si="3" ref="C21:L21">+C19-C7</f>
        <v>50600411.045600176</v>
      </c>
      <c r="D21" s="99">
        <f t="shared" si="3"/>
        <v>56895357.972283244</v>
      </c>
      <c r="E21" s="99">
        <f t="shared" si="3"/>
        <v>2782131.0283415318</v>
      </c>
      <c r="F21" s="103">
        <f t="shared" si="3"/>
        <v>-11319568.939750671</v>
      </c>
      <c r="G21" s="103">
        <f t="shared" si="3"/>
        <v>-3042272.4184351563</v>
      </c>
      <c r="H21" s="99">
        <f t="shared" si="3"/>
        <v>2630643.444498807</v>
      </c>
      <c r="I21" s="103">
        <f t="shared" si="3"/>
        <v>-897358.0056503303</v>
      </c>
      <c r="J21" s="99">
        <f t="shared" si="3"/>
        <v>1800529.7609731145</v>
      </c>
      <c r="K21" s="99">
        <f t="shared" si="3"/>
        <v>1634850.1899820715</v>
      </c>
      <c r="L21" s="99">
        <f t="shared" si="3"/>
        <v>116098.01335762558</v>
      </c>
    </row>
    <row r="23" spans="1:12" ht="11.25">
      <c r="A23" s="98" t="s">
        <v>169</v>
      </c>
      <c r="C23" s="97">
        <v>81600773.30715278</v>
      </c>
      <c r="D23" s="97">
        <v>91752322.01061891</v>
      </c>
      <c r="E23" s="97">
        <v>4486604.726390524</v>
      </c>
      <c r="F23" s="135">
        <v>-18254507.42198268</v>
      </c>
      <c r="G23" s="135">
        <v>-4906121.844180474</v>
      </c>
      <c r="H23" s="97">
        <v>4242308.213129806</v>
      </c>
      <c r="I23" s="135">
        <v>-1447124.7502009845</v>
      </c>
      <c r="J23" s="97">
        <v>2903625.0461590835</v>
      </c>
      <c r="K23" s="97">
        <v>2636441.819092344</v>
      </c>
      <c r="L23" s="97">
        <v>187225.50812618644</v>
      </c>
    </row>
    <row r="25" spans="1:12" ht="11.25">
      <c r="A25" s="101" t="s">
        <v>170</v>
      </c>
      <c r="C25" s="97">
        <v>1418671982.89</v>
      </c>
      <c r="D25" s="97">
        <v>765738982.9261276</v>
      </c>
      <c r="E25" s="97">
        <v>173965441.73710346</v>
      </c>
      <c r="F25" s="97">
        <v>204457478.28616923</v>
      </c>
      <c r="G25" s="97">
        <v>119979387.66841</v>
      </c>
      <c r="H25" s="97">
        <v>109164449.41426864</v>
      </c>
      <c r="I25" s="97">
        <v>8435963.72</v>
      </c>
      <c r="J25" s="97">
        <v>22235672.571359012</v>
      </c>
      <c r="K25" s="97">
        <v>12877810.396562036</v>
      </c>
      <c r="L25" s="97">
        <v>1816796.17</v>
      </c>
    </row>
    <row r="27" spans="1:12" ht="11.25">
      <c r="A27" s="102" t="s">
        <v>171</v>
      </c>
      <c r="C27" s="99">
        <f aca="true" t="shared" si="4" ref="C27:L27">+C23+C25</f>
        <v>1500272756.1971529</v>
      </c>
      <c r="D27" s="99">
        <f t="shared" si="4"/>
        <v>857491304.9367465</v>
      </c>
      <c r="E27" s="99">
        <f t="shared" si="4"/>
        <v>178452046.46349397</v>
      </c>
      <c r="F27" s="99">
        <f t="shared" si="4"/>
        <v>186202970.86418656</v>
      </c>
      <c r="G27" s="99">
        <f t="shared" si="4"/>
        <v>115073265.82422952</v>
      </c>
      <c r="H27" s="99">
        <f t="shared" si="4"/>
        <v>113406757.62739845</v>
      </c>
      <c r="I27" s="99">
        <f t="shared" si="4"/>
        <v>6988838.969799016</v>
      </c>
      <c r="J27" s="99">
        <f t="shared" si="4"/>
        <v>25139297.617518097</v>
      </c>
      <c r="K27" s="99">
        <f t="shared" si="4"/>
        <v>15514252.21565438</v>
      </c>
      <c r="L27" s="99">
        <f t="shared" si="4"/>
        <v>2004021.6781261864</v>
      </c>
    </row>
    <row r="29" spans="1:12" ht="11.25">
      <c r="A29" s="87" t="s">
        <v>198</v>
      </c>
      <c r="C29" s="137">
        <f aca="true" t="shared" si="5" ref="C29:L29">+C25/C27</f>
        <v>0.9456093747153071</v>
      </c>
      <c r="D29" s="137">
        <f t="shared" si="5"/>
        <v>0.8929991225772405</v>
      </c>
      <c r="E29" s="137">
        <f t="shared" si="5"/>
        <v>0.9748582052416623</v>
      </c>
      <c r="F29" s="137">
        <f t="shared" si="5"/>
        <v>1.0980355326086457</v>
      </c>
      <c r="G29" s="137">
        <f t="shared" si="5"/>
        <v>1.0426347667204858</v>
      </c>
      <c r="H29" s="137">
        <f t="shared" si="5"/>
        <v>0.9625921038403369</v>
      </c>
      <c r="I29" s="137">
        <f t="shared" si="5"/>
        <v>1.207062254038828</v>
      </c>
      <c r="J29" s="137">
        <f t="shared" si="5"/>
        <v>0.8844985611636293</v>
      </c>
      <c r="K29" s="137">
        <f t="shared" si="5"/>
        <v>0.8300632358914412</v>
      </c>
      <c r="L29" s="137">
        <f t="shared" si="5"/>
        <v>0.9065751083584848</v>
      </c>
    </row>
    <row r="31" spans="1:12" ht="11.25">
      <c r="A31" s="86" t="s">
        <v>199</v>
      </c>
      <c r="C31" s="136">
        <f aca="true" t="shared" si="6" ref="C31:L31">+C29/$C29</f>
        <v>1</v>
      </c>
      <c r="D31" s="136">
        <f t="shared" si="6"/>
        <v>0.9443636521117338</v>
      </c>
      <c r="E31" s="136">
        <f t="shared" si="6"/>
        <v>1.0309311977106415</v>
      </c>
      <c r="F31" s="136">
        <f t="shared" si="6"/>
        <v>1.1611935773577005</v>
      </c>
      <c r="G31" s="136">
        <f t="shared" si="6"/>
        <v>1.1026062078058287</v>
      </c>
      <c r="H31" s="136">
        <f t="shared" si="6"/>
        <v>1.0179595608706213</v>
      </c>
      <c r="I31" s="136">
        <f t="shared" si="6"/>
        <v>1.2764914205744164</v>
      </c>
      <c r="J31" s="136">
        <f t="shared" si="6"/>
        <v>0.935374145830485</v>
      </c>
      <c r="K31" s="136">
        <f t="shared" si="6"/>
        <v>0.8778077481955451</v>
      </c>
      <c r="L31" s="136">
        <f t="shared" si="6"/>
        <v>0.9587205167370783</v>
      </c>
    </row>
    <row r="33" ht="11.25">
      <c r="A33" s="86" t="s">
        <v>190</v>
      </c>
    </row>
  </sheetData>
  <mergeCells count="2">
    <mergeCell ref="A1:L1"/>
    <mergeCell ref="A2:L2"/>
  </mergeCells>
  <printOptions horizontalCentered="1"/>
  <pageMargins left="0.75" right="0.75" top="1.25" bottom="1" header="0.5" footer="0.5"/>
  <pageSetup fitToHeight="1" fitToWidth="1" horizontalDpi="600" verticalDpi="600" orientation="landscape" scale="73" r:id="rId1"/>
  <headerFooter alignWithMargins="0">
    <oddHeader>&amp;C&amp;"Arial,Bold"&amp;14Cost of Service Results Using 21% Peak Credit
Applied to PSE Proposed Revenue Requirement&amp;R&amp;"Arial,Bold"&amp;8EXHIBIT NO.____ (KCH-3)
DOCKET NO. UG-040640/UE-040641
2004 PSE GENERAL RATE CASE
WITNESS:  KEVIN C. HIGGINS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2" bestFit="1" customWidth="1"/>
    <col min="2" max="2" width="64.140625" style="2" customWidth="1"/>
    <col min="3" max="3" width="15.421875" style="2" customWidth="1"/>
    <col min="4" max="4" width="15.57421875" style="2" customWidth="1"/>
    <col min="5" max="5" width="2.7109375" style="2" customWidth="1"/>
    <col min="6" max="6" width="33.57421875" style="2" bestFit="1" customWidth="1"/>
    <col min="7" max="16384" width="9.140625" style="2" customWidth="1"/>
  </cols>
  <sheetData>
    <row r="1" spans="2:10" ht="18">
      <c r="B1" s="140" t="s">
        <v>11</v>
      </c>
      <c r="C1" s="140"/>
      <c r="D1" s="140"/>
      <c r="E1" s="140"/>
      <c r="F1" s="140"/>
      <c r="G1" s="5"/>
      <c r="H1" s="5"/>
      <c r="I1" s="5"/>
      <c r="J1" s="5"/>
    </row>
    <row r="2" spans="2:10" ht="18">
      <c r="B2" s="140" t="s">
        <v>4</v>
      </c>
      <c r="C2" s="140"/>
      <c r="D2" s="140"/>
      <c r="E2" s="140"/>
      <c r="F2" s="140"/>
      <c r="G2" s="5"/>
      <c r="H2" s="5"/>
      <c r="I2" s="5"/>
      <c r="J2" s="5"/>
    </row>
    <row r="3" ht="12.75" customHeight="1">
      <c r="B3" s="4"/>
    </row>
    <row r="4" ht="12.75" customHeight="1">
      <c r="B4" s="4"/>
    </row>
    <row r="5" ht="12.75" customHeight="1"/>
    <row r="6" ht="12.75" customHeight="1">
      <c r="B6" s="4"/>
    </row>
    <row r="7" spans="1:6" ht="12.75">
      <c r="A7" s="7" t="s">
        <v>7</v>
      </c>
      <c r="C7" s="7" t="s">
        <v>0</v>
      </c>
      <c r="D7" s="7" t="s">
        <v>1</v>
      </c>
      <c r="E7" s="58"/>
      <c r="F7" s="7" t="s">
        <v>8</v>
      </c>
    </row>
    <row r="8" spans="1:6" ht="12.75">
      <c r="A8" s="7"/>
      <c r="C8" s="7"/>
      <c r="D8" s="7"/>
      <c r="E8" s="58"/>
      <c r="F8" s="7"/>
    </row>
    <row r="9" spans="1:6" ht="12.75">
      <c r="A9" s="7"/>
      <c r="B9" s="8" t="s">
        <v>9</v>
      </c>
      <c r="C9" s="7"/>
      <c r="D9" s="7"/>
      <c r="E9" s="58"/>
      <c r="F9" s="7"/>
    </row>
    <row r="10" spans="1:6" ht="12.75">
      <c r="A10" s="7"/>
      <c r="B10" s="8"/>
      <c r="C10" s="7"/>
      <c r="D10" s="7"/>
      <c r="E10" s="58"/>
      <c r="F10" s="7"/>
    </row>
    <row r="11" spans="1:6" ht="12.75">
      <c r="A11" s="1">
        <v>1</v>
      </c>
      <c r="B11" s="2" t="s">
        <v>2</v>
      </c>
      <c r="C11" s="3">
        <v>52535844</v>
      </c>
      <c r="D11" s="3">
        <v>25999367</v>
      </c>
      <c r="F11" s="9" t="s">
        <v>13</v>
      </c>
    </row>
    <row r="12" spans="1:6" ht="15">
      <c r="A12" s="1">
        <v>2</v>
      </c>
      <c r="B12" s="2" t="s">
        <v>16</v>
      </c>
      <c r="C12" s="10">
        <v>770819.01</v>
      </c>
      <c r="D12" s="10">
        <v>476952.84</v>
      </c>
      <c r="F12" s="11" t="s">
        <v>19</v>
      </c>
    </row>
    <row r="13" spans="1:6" ht="12.75">
      <c r="A13" s="1">
        <v>3</v>
      </c>
      <c r="B13" s="2" t="s">
        <v>15</v>
      </c>
      <c r="C13" s="3">
        <f>+C11-C12</f>
        <v>51765024.99</v>
      </c>
      <c r="D13" s="3">
        <f>+D11-D12</f>
        <v>25522414.16</v>
      </c>
      <c r="F13" s="9" t="s">
        <v>21</v>
      </c>
    </row>
    <row r="15" spans="1:6" ht="12.75">
      <c r="A15" s="1">
        <v>4</v>
      </c>
      <c r="B15" s="2" t="s">
        <v>73</v>
      </c>
      <c r="C15" s="3">
        <v>24439783</v>
      </c>
      <c r="D15" s="3">
        <v>25350815</v>
      </c>
      <c r="F15" s="9" t="s">
        <v>14</v>
      </c>
    </row>
    <row r="16" spans="1:6" ht="15">
      <c r="A16" s="1">
        <v>5</v>
      </c>
      <c r="B16" s="2" t="s">
        <v>98</v>
      </c>
      <c r="C16" s="10">
        <f>+C28</f>
        <v>20553139.683432005</v>
      </c>
      <c r="D16" s="10" t="s">
        <v>66</v>
      </c>
      <c r="F16" s="9" t="s">
        <v>75</v>
      </c>
    </row>
    <row r="17" spans="1:6" ht="12.75">
      <c r="A17" s="1">
        <v>6</v>
      </c>
      <c r="B17" s="2" t="s">
        <v>74</v>
      </c>
      <c r="C17" s="3">
        <f>+C15+C16</f>
        <v>44992922.683432005</v>
      </c>
      <c r="D17" s="3">
        <f>+D15</f>
        <v>25350815</v>
      </c>
      <c r="F17" s="9" t="s">
        <v>76</v>
      </c>
    </row>
    <row r="18" spans="1:4" ht="12.75">
      <c r="A18" s="1"/>
      <c r="C18" s="59"/>
      <c r="D18" s="59"/>
    </row>
    <row r="19" spans="1:6" ht="12.75">
      <c r="A19" s="1">
        <v>7</v>
      </c>
      <c r="B19" s="2" t="s">
        <v>5</v>
      </c>
      <c r="C19" s="104">
        <f>+C17-C13</f>
        <v>-6772102.306567997</v>
      </c>
      <c r="D19" s="104">
        <f>+D17-D13</f>
        <v>-171599.16000000015</v>
      </c>
      <c r="F19" s="9" t="s">
        <v>77</v>
      </c>
    </row>
    <row r="21" ht="12.75">
      <c r="B21" s="8" t="s">
        <v>10</v>
      </c>
    </row>
    <row r="23" spans="1:6" ht="12.75">
      <c r="A23" s="1">
        <v>8</v>
      </c>
      <c r="B23" s="2" t="s">
        <v>3</v>
      </c>
      <c r="C23" s="3">
        <v>145612753</v>
      </c>
      <c r="D23" s="3">
        <v>95304278</v>
      </c>
      <c r="F23" s="9" t="s">
        <v>12</v>
      </c>
    </row>
    <row r="24" spans="1:6" ht="15">
      <c r="A24" s="1">
        <v>9</v>
      </c>
      <c r="B24" s="2" t="s">
        <v>17</v>
      </c>
      <c r="C24" s="10">
        <v>5158557.99</v>
      </c>
      <c r="D24" s="10">
        <v>3191915.16</v>
      </c>
      <c r="F24" s="11" t="s">
        <v>20</v>
      </c>
    </row>
    <row r="25" spans="1:6" ht="12.75">
      <c r="A25" s="1">
        <v>10</v>
      </c>
      <c r="B25" s="2" t="s">
        <v>18</v>
      </c>
      <c r="C25" s="3">
        <f>+C23-C24</f>
        <v>140454195.01</v>
      </c>
      <c r="D25" s="3">
        <f>+D23-D24</f>
        <v>92112362.84</v>
      </c>
      <c r="F25" s="9" t="s">
        <v>65</v>
      </c>
    </row>
    <row r="27" spans="1:6" ht="12.75">
      <c r="A27" s="1">
        <v>11</v>
      </c>
      <c r="B27" s="2" t="s">
        <v>64</v>
      </c>
      <c r="C27" s="3">
        <v>179977386</v>
      </c>
      <c r="D27" s="3">
        <v>95186406</v>
      </c>
      <c r="F27" s="9" t="s">
        <v>14</v>
      </c>
    </row>
    <row r="28" spans="1:6" ht="15">
      <c r="A28" s="1">
        <v>12</v>
      </c>
      <c r="B28" s="2" t="s">
        <v>62</v>
      </c>
      <c r="C28" s="10">
        <f>+C53</f>
        <v>20553139.683432005</v>
      </c>
      <c r="D28" s="10" t="s">
        <v>66</v>
      </c>
      <c r="F28" s="9" t="s">
        <v>75</v>
      </c>
    </row>
    <row r="29" spans="1:6" ht="12.75">
      <c r="A29" s="1">
        <v>13</v>
      </c>
      <c r="B29" s="2" t="s">
        <v>63</v>
      </c>
      <c r="C29" s="3">
        <f>+C27-C28</f>
        <v>159424246.316568</v>
      </c>
      <c r="D29" s="3">
        <f>+D27</f>
        <v>95186406</v>
      </c>
      <c r="F29" s="9" t="s">
        <v>78</v>
      </c>
    </row>
    <row r="31" spans="1:6" ht="12.75">
      <c r="A31" s="1">
        <v>14</v>
      </c>
      <c r="B31" s="2" t="s">
        <v>6</v>
      </c>
      <c r="C31" s="3">
        <f>+C29-C25</f>
        <v>18970051.306567997</v>
      </c>
      <c r="D31" s="3">
        <f>+D29-D25</f>
        <v>3074043.1599999964</v>
      </c>
      <c r="F31" s="9" t="s">
        <v>79</v>
      </c>
    </row>
    <row r="32" spans="1:6" ht="12.75">
      <c r="A32" s="1"/>
      <c r="C32" s="6"/>
      <c r="D32" s="6"/>
      <c r="F32" s="9"/>
    </row>
    <row r="33" spans="1:6" ht="12.75">
      <c r="A33" s="1"/>
      <c r="C33" s="6"/>
      <c r="D33" s="6"/>
      <c r="F33" s="9"/>
    </row>
    <row r="36" ht="18">
      <c r="B36" s="4" t="s">
        <v>99</v>
      </c>
    </row>
    <row r="38" spans="1:6" ht="12.75">
      <c r="A38" s="7" t="s">
        <v>7</v>
      </c>
      <c r="C38" s="7" t="s">
        <v>47</v>
      </c>
      <c r="F38" s="7" t="s">
        <v>8</v>
      </c>
    </row>
    <row r="39" spans="1:6" ht="12.75">
      <c r="A39" s="1">
        <v>15</v>
      </c>
      <c r="B39" s="2" t="s">
        <v>100</v>
      </c>
      <c r="C39" s="60">
        <f>+'KCH-5, p.1'!G16</f>
        <v>0.055958</v>
      </c>
      <c r="F39" s="9" t="s">
        <v>52</v>
      </c>
    </row>
    <row r="40" ht="12.75">
      <c r="A40" s="1"/>
    </row>
    <row r="41" spans="1:6" ht="12.75">
      <c r="A41" s="1">
        <v>16</v>
      </c>
      <c r="B41" s="2" t="s">
        <v>71</v>
      </c>
      <c r="C41" s="60">
        <f>+'KCH-5, p.1'!G14</f>
        <v>0.073746</v>
      </c>
      <c r="F41" s="9" t="s">
        <v>52</v>
      </c>
    </row>
    <row r="42" ht="12.75">
      <c r="A42" s="1"/>
    </row>
    <row r="43" spans="1:6" ht="12.75">
      <c r="A43" s="1">
        <v>17</v>
      </c>
      <c r="B43" s="2" t="s">
        <v>69</v>
      </c>
      <c r="C43" s="24">
        <f>+'KCH-5, p.1'!D14</f>
        <v>725287983</v>
      </c>
      <c r="F43" s="9" t="s">
        <v>52</v>
      </c>
    </row>
    <row r="44" ht="12.75">
      <c r="A44" s="1"/>
    </row>
    <row r="45" spans="1:6" ht="12.75">
      <c r="A45" s="1">
        <v>18</v>
      </c>
      <c r="B45" s="2" t="s">
        <v>83</v>
      </c>
      <c r="C45" s="25">
        <f>+(C41-C39)*C43</f>
        <v>12901422.641604004</v>
      </c>
      <c r="F45" s="9" t="s">
        <v>80</v>
      </c>
    </row>
    <row r="46" ht="12.75">
      <c r="A46" s="1"/>
    </row>
    <row r="47" spans="1:6" ht="12.75">
      <c r="A47" s="1">
        <v>19</v>
      </c>
      <c r="B47" s="2" t="s">
        <v>70</v>
      </c>
      <c r="C47" s="60">
        <f>+'KCH-5, p.1'!G15</f>
        <v>0.066609</v>
      </c>
      <c r="F47" s="9" t="s">
        <v>52</v>
      </c>
    </row>
    <row r="48" ht="12.75">
      <c r="A48" s="1"/>
    </row>
    <row r="49" spans="1:6" ht="12.75">
      <c r="A49" s="1">
        <v>20</v>
      </c>
      <c r="B49" s="2" t="s">
        <v>72</v>
      </c>
      <c r="C49" s="24">
        <f>+'KCH-5, p.1'!D15</f>
        <v>718403628</v>
      </c>
      <c r="F49" s="9" t="s">
        <v>52</v>
      </c>
    </row>
    <row r="50" ht="12.75">
      <c r="A50" s="1"/>
    </row>
    <row r="51" spans="1:6" ht="12.75">
      <c r="A51" s="1">
        <v>21</v>
      </c>
      <c r="B51" s="2" t="s">
        <v>84</v>
      </c>
      <c r="C51" s="25">
        <f>+(C47-C39)*C49</f>
        <v>7651717.041828001</v>
      </c>
      <c r="F51" s="9" t="s">
        <v>81</v>
      </c>
    </row>
    <row r="52" ht="12.75">
      <c r="A52" s="1"/>
    </row>
    <row r="53" spans="1:6" ht="12.75">
      <c r="A53" s="1">
        <v>22</v>
      </c>
      <c r="B53" s="2" t="s">
        <v>85</v>
      </c>
      <c r="C53" s="25">
        <f>+C45+C51</f>
        <v>20553139.683432005</v>
      </c>
      <c r="F53" s="9" t="s">
        <v>82</v>
      </c>
    </row>
  </sheetData>
  <mergeCells count="2">
    <mergeCell ref="B1:F1"/>
    <mergeCell ref="B2:F2"/>
  </mergeCells>
  <printOptions horizontalCentered="1"/>
  <pageMargins left="0.75" right="0.75" top="1.25" bottom="1" header="0.5" footer="0.5"/>
  <pageSetup fitToHeight="1" fitToWidth="1" horizontalDpi="600" verticalDpi="600" orientation="portrait" scale="66" r:id="rId1"/>
  <headerFooter alignWithMargins="0">
    <oddHeader xml:space="preserve">&amp;R&amp;"Arial,Bold"EXHIBIT NO. ____ (KCH-4)
DOCKET NO. UG-04640/UE-04641
2004 PSE GENERAL RATE CASE
WITNESS:  KEVIN C. HIGGINS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4" sqref="A4"/>
    </sheetView>
  </sheetViews>
  <sheetFormatPr defaultColWidth="9.140625" defaultRowHeight="12.75"/>
  <cols>
    <col min="1" max="1" width="29.8515625" style="113" customWidth="1"/>
    <col min="2" max="4" width="15.7109375" style="113" customWidth="1"/>
    <col min="5" max="5" width="15.8515625" style="113" bestFit="1" customWidth="1"/>
    <col min="6" max="6" width="16.7109375" style="113" customWidth="1"/>
    <col min="7" max="7" width="15.8515625" style="113" customWidth="1"/>
    <col min="8" max="9" width="16.7109375" style="113" customWidth="1"/>
    <col min="10" max="10" width="15.7109375" style="113" customWidth="1"/>
    <col min="11" max="11" width="18.57421875" style="113" bestFit="1" customWidth="1"/>
    <col min="12" max="12" width="12.8515625" style="113" bestFit="1" customWidth="1"/>
    <col min="13" max="13" width="17.28125" style="113" bestFit="1" customWidth="1"/>
    <col min="14" max="14" width="7.8515625" style="113" bestFit="1" customWidth="1"/>
    <col min="15" max="15" width="11.57421875" style="113" customWidth="1"/>
    <col min="16" max="16384" width="9.140625" style="113" customWidth="1"/>
  </cols>
  <sheetData>
    <row r="1" spans="1:14" ht="18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5"/>
      <c r="L1" s="5"/>
      <c r="M1" s="5"/>
      <c r="N1" s="5"/>
    </row>
    <row r="2" spans="1:14" ht="18">
      <c r="A2" s="140" t="s">
        <v>94</v>
      </c>
      <c r="B2" s="140"/>
      <c r="C2" s="140"/>
      <c r="D2" s="140"/>
      <c r="E2" s="140"/>
      <c r="F2" s="140"/>
      <c r="G2" s="140"/>
      <c r="H2" s="140"/>
      <c r="I2" s="140"/>
      <c r="J2" s="140"/>
      <c r="K2" s="5"/>
      <c r="L2" s="5"/>
      <c r="M2" s="5"/>
      <c r="N2" s="5"/>
    </row>
    <row r="3" spans="1:14" ht="12.75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12"/>
      <c r="L3" s="12"/>
      <c r="M3" s="12"/>
      <c r="N3" s="12"/>
    </row>
    <row r="5" spans="1:14" ht="12.75">
      <c r="A5" s="145" t="s">
        <v>23</v>
      </c>
      <c r="B5" s="145"/>
      <c r="C5" s="145"/>
      <c r="D5" s="145"/>
      <c r="E5" s="145"/>
      <c r="F5" s="145"/>
      <c r="G5" s="145"/>
      <c r="H5" s="145"/>
      <c r="I5" s="145"/>
      <c r="J5" s="145"/>
      <c r="K5" s="12"/>
      <c r="L5" s="12"/>
      <c r="M5" s="12"/>
      <c r="N5" s="12"/>
    </row>
    <row r="6" spans="1:14" ht="12.75">
      <c r="A6" s="145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2"/>
      <c r="L6" s="12"/>
      <c r="M6" s="12"/>
      <c r="N6" s="12"/>
    </row>
    <row r="7" spans="1:14" ht="12.75">
      <c r="A7" s="145" t="s">
        <v>24</v>
      </c>
      <c r="B7" s="145"/>
      <c r="C7" s="145"/>
      <c r="D7" s="145"/>
      <c r="E7" s="145"/>
      <c r="F7" s="145"/>
      <c r="G7" s="145"/>
      <c r="H7" s="145"/>
      <c r="I7" s="145"/>
      <c r="J7" s="145"/>
      <c r="K7" s="12"/>
      <c r="L7" s="12"/>
      <c r="M7" s="12"/>
      <c r="N7" s="12"/>
    </row>
    <row r="9" spans="2:10" ht="12.75">
      <c r="B9" s="142" t="s">
        <v>89</v>
      </c>
      <c r="C9" s="144"/>
      <c r="D9" s="143"/>
      <c r="E9" s="142" t="s">
        <v>25</v>
      </c>
      <c r="F9" s="143"/>
      <c r="G9" s="142" t="s">
        <v>87</v>
      </c>
      <c r="H9" s="143"/>
      <c r="I9" s="142" t="s">
        <v>88</v>
      </c>
      <c r="J9" s="143"/>
    </row>
    <row r="10" spans="2:10" ht="12.75">
      <c r="B10" s="50"/>
      <c r="C10" s="51" t="s">
        <v>26</v>
      </c>
      <c r="D10" s="52"/>
      <c r="E10" s="142" t="s">
        <v>27</v>
      </c>
      <c r="F10" s="143"/>
      <c r="G10" s="142" t="s">
        <v>28</v>
      </c>
      <c r="H10" s="143"/>
      <c r="I10" s="144" t="s">
        <v>29</v>
      </c>
      <c r="J10" s="143"/>
    </row>
    <row r="11" spans="1:10" ht="25.5">
      <c r="A11" s="114"/>
      <c r="B11" s="53"/>
      <c r="C11" s="54" t="s">
        <v>30</v>
      </c>
      <c r="D11" s="16"/>
      <c r="E11" s="13" t="s">
        <v>31</v>
      </c>
      <c r="F11" s="17" t="s">
        <v>32</v>
      </c>
      <c r="G11" s="13" t="s">
        <v>31</v>
      </c>
      <c r="H11" s="18" t="s">
        <v>33</v>
      </c>
      <c r="I11" s="13" t="s">
        <v>34</v>
      </c>
      <c r="J11" s="14" t="s">
        <v>35</v>
      </c>
    </row>
    <row r="12" spans="1:10" ht="15">
      <c r="A12" s="2" t="s">
        <v>36</v>
      </c>
      <c r="B12" s="19">
        <v>87940</v>
      </c>
      <c r="D12" s="19">
        <f>+B12</f>
        <v>87940</v>
      </c>
      <c r="E12" s="20">
        <v>24.9</v>
      </c>
      <c r="F12" s="39">
        <v>2189703</v>
      </c>
      <c r="G12" s="20">
        <v>33.5</v>
      </c>
      <c r="H12" s="39">
        <v>2945986</v>
      </c>
      <c r="I12" s="21">
        <f>+H12-F12</f>
        <v>756283</v>
      </c>
      <c r="J12" s="61">
        <f>+I12/F12</f>
        <v>0.3453815426110299</v>
      </c>
    </row>
    <row r="13" spans="1:10" ht="12.75">
      <c r="A13" s="2"/>
      <c r="D13" s="115"/>
      <c r="F13" s="29"/>
      <c r="G13" s="2"/>
      <c r="H13" s="29"/>
      <c r="I13" s="23"/>
      <c r="J13" s="62"/>
    </row>
    <row r="14" spans="1:10" ht="12.75">
      <c r="A14" s="2" t="s">
        <v>37</v>
      </c>
      <c r="B14" s="24">
        <v>725287983</v>
      </c>
      <c r="D14" s="25">
        <f>+B14</f>
        <v>725287983</v>
      </c>
      <c r="E14" s="26">
        <v>0.069616</v>
      </c>
      <c r="F14" s="29">
        <v>50491648</v>
      </c>
      <c r="G14" s="26">
        <v>0.073746</v>
      </c>
      <c r="H14" s="29">
        <v>53487088</v>
      </c>
      <c r="I14" s="23">
        <f>+H14-F14</f>
        <v>2995440</v>
      </c>
      <c r="J14" s="62">
        <f>+I14/F14</f>
        <v>0.059325455172308895</v>
      </c>
    </row>
    <row r="15" spans="1:10" ht="12.75">
      <c r="A15" s="2" t="s">
        <v>38</v>
      </c>
      <c r="B15" s="24">
        <v>718403628</v>
      </c>
      <c r="D15" s="25">
        <f>+B15</f>
        <v>718403628</v>
      </c>
      <c r="E15" s="26">
        <v>0.062652</v>
      </c>
      <c r="F15" s="29">
        <v>45009424</v>
      </c>
      <c r="G15" s="26">
        <v>0.066609</v>
      </c>
      <c r="H15" s="29">
        <v>47852147</v>
      </c>
      <c r="I15" s="23">
        <f>+H15-F15</f>
        <v>2842723</v>
      </c>
      <c r="J15" s="62">
        <f>+I15/F15</f>
        <v>0.06315839545069495</v>
      </c>
    </row>
    <row r="16" spans="1:10" ht="15">
      <c r="A16" s="2" t="s">
        <v>39</v>
      </c>
      <c r="B16" s="27">
        <v>1408084336</v>
      </c>
      <c r="C16" s="27">
        <v>-2777653</v>
      </c>
      <c r="D16" s="19">
        <f>+B16+C16</f>
        <v>1405306683</v>
      </c>
      <c r="E16" s="26">
        <v>0.05226</v>
      </c>
      <c r="F16" s="39">
        <v>73441327</v>
      </c>
      <c r="G16" s="116">
        <v>0.055958</v>
      </c>
      <c r="H16" s="39">
        <v>78638151</v>
      </c>
      <c r="I16" s="21">
        <f>+H16-F16</f>
        <v>5196824</v>
      </c>
      <c r="J16" s="61">
        <f>+I16/F16</f>
        <v>0.07076157542741568</v>
      </c>
    </row>
    <row r="17" spans="1:10" ht="15">
      <c r="A17" s="2" t="s">
        <v>40</v>
      </c>
      <c r="B17" s="28">
        <f>SUM(B14:B16)</f>
        <v>2851775947</v>
      </c>
      <c r="C17" s="28">
        <f>SUM(C14:C16)</f>
        <v>-2777653</v>
      </c>
      <c r="D17" s="28">
        <f>SUM(D14:D16)</f>
        <v>2848998294</v>
      </c>
      <c r="F17" s="45">
        <v>168942400</v>
      </c>
      <c r="G17" s="29"/>
      <c r="H17" s="45">
        <v>179977386</v>
      </c>
      <c r="I17" s="30">
        <f>+H17-F17</f>
        <v>11034986</v>
      </c>
      <c r="J17" s="62">
        <f>+I17/F17</f>
        <v>0.06531803739025846</v>
      </c>
    </row>
    <row r="18" spans="1:10" ht="12.75">
      <c r="A18" s="2"/>
      <c r="F18" s="29"/>
      <c r="G18" s="2"/>
      <c r="H18" s="29"/>
      <c r="I18" s="23"/>
      <c r="J18" s="62"/>
    </row>
    <row r="19" spans="1:10" ht="12.75">
      <c r="A19" s="2" t="s">
        <v>41</v>
      </c>
      <c r="B19" s="24">
        <v>2125411</v>
      </c>
      <c r="D19" s="25">
        <f>+B19</f>
        <v>2125411</v>
      </c>
      <c r="E19" s="20">
        <v>6.66</v>
      </c>
      <c r="F19" s="29">
        <v>14155237</v>
      </c>
      <c r="G19" s="20">
        <v>6.85</v>
      </c>
      <c r="H19" s="29">
        <v>14559065</v>
      </c>
      <c r="I19" s="23">
        <f>+H19-F19</f>
        <v>403828</v>
      </c>
      <c r="J19" s="62">
        <f>+I19/F19</f>
        <v>0.028528522694462835</v>
      </c>
    </row>
    <row r="20" spans="1:10" ht="15">
      <c r="A20" s="2" t="s">
        <v>42</v>
      </c>
      <c r="B20" s="27">
        <v>2162083</v>
      </c>
      <c r="D20" s="19">
        <f>+B20</f>
        <v>2162083</v>
      </c>
      <c r="E20" s="20">
        <v>4.44</v>
      </c>
      <c r="F20" s="39">
        <v>9599647</v>
      </c>
      <c r="G20" s="20">
        <v>4.57</v>
      </c>
      <c r="H20" s="39">
        <v>9880718</v>
      </c>
      <c r="I20" s="21">
        <f>+H20-F20</f>
        <v>281071</v>
      </c>
      <c r="J20" s="61">
        <f>+I20/F20</f>
        <v>0.029279305791140027</v>
      </c>
    </row>
    <row r="21" spans="1:10" ht="15">
      <c r="A21" s="2" t="s">
        <v>43</v>
      </c>
      <c r="B21" s="28">
        <f>SUM(B19:B20)</f>
        <v>4287494</v>
      </c>
      <c r="D21" s="28">
        <f>+B21</f>
        <v>4287494</v>
      </c>
      <c r="F21" s="45">
        <v>23754884</v>
      </c>
      <c r="G21" s="29"/>
      <c r="H21" s="45">
        <v>24439783</v>
      </c>
      <c r="I21" s="30">
        <f>+H21-F21</f>
        <v>684899</v>
      </c>
      <c r="J21" s="62">
        <f>+I21/F21</f>
        <v>0.02883192357411638</v>
      </c>
    </row>
    <row r="22" spans="1:10" ht="12.75">
      <c r="A22" s="2"/>
      <c r="F22" s="29"/>
      <c r="G22" s="2"/>
      <c r="H22" s="29"/>
      <c r="I22" s="23"/>
      <c r="J22" s="62"/>
    </row>
    <row r="23" spans="1:10" ht="15">
      <c r="A23" s="2" t="s">
        <v>44</v>
      </c>
      <c r="B23" s="19">
        <v>745499708</v>
      </c>
      <c r="D23" s="19">
        <f>+B23</f>
        <v>745499708</v>
      </c>
      <c r="E23" s="31">
        <v>0.00233</v>
      </c>
      <c r="F23" s="47">
        <v>1737014</v>
      </c>
      <c r="G23" s="31">
        <v>0.0024</v>
      </c>
      <c r="H23" s="39">
        <v>1789199</v>
      </c>
      <c r="I23" s="21">
        <f>+H23-F23</f>
        <v>52185</v>
      </c>
      <c r="J23" s="61">
        <f>+I23/F23</f>
        <v>0.03004293575066177</v>
      </c>
    </row>
    <row r="24" spans="1:10" ht="12.75">
      <c r="A24" s="2"/>
      <c r="E24" s="2"/>
      <c r="F24" s="29"/>
      <c r="G24" s="2"/>
      <c r="H24" s="29"/>
      <c r="I24" s="23"/>
      <c r="J24" s="62"/>
    </row>
    <row r="25" spans="1:10" ht="15">
      <c r="A25" s="2" t="s">
        <v>45</v>
      </c>
      <c r="D25" s="19">
        <f>+D17</f>
        <v>2848998294</v>
      </c>
      <c r="E25" s="26">
        <v>0.00234</v>
      </c>
      <c r="F25" s="39">
        <v>6666656</v>
      </c>
      <c r="G25" s="20">
        <v>0</v>
      </c>
      <c r="H25" s="39">
        <v>0</v>
      </c>
      <c r="I25" s="21">
        <f>+H25-F25</f>
        <v>-6666656</v>
      </c>
      <c r="J25" s="61">
        <f>+I25/F25</f>
        <v>-1</v>
      </c>
    </row>
    <row r="26" spans="1:10" ht="12.75">
      <c r="A26" s="2"/>
      <c r="F26" s="2"/>
      <c r="H26" s="2"/>
      <c r="I26" s="23"/>
      <c r="J26" s="62"/>
    </row>
    <row r="27" spans="1:10" ht="15">
      <c r="A27" s="2" t="s">
        <v>46</v>
      </c>
      <c r="F27" s="45">
        <v>203290657</v>
      </c>
      <c r="G27" s="117"/>
      <c r="H27" s="45">
        <v>209152354</v>
      </c>
      <c r="I27" s="30">
        <f>+H27-F27</f>
        <v>5861697</v>
      </c>
      <c r="J27" s="63">
        <f>+I27/F27</f>
        <v>0.02883406983135482</v>
      </c>
    </row>
    <row r="28" spans="1:14" ht="12.75" customHeight="1">
      <c r="A28" s="2"/>
      <c r="F28" s="117"/>
      <c r="G28" s="117"/>
      <c r="H28" s="117"/>
      <c r="I28" s="117"/>
      <c r="J28" s="117"/>
      <c r="K28" s="117"/>
      <c r="L28" s="117"/>
      <c r="M28" s="118"/>
      <c r="N28" s="119"/>
    </row>
    <row r="29" ht="12.75">
      <c r="A29" s="2" t="s">
        <v>67</v>
      </c>
    </row>
  </sheetData>
  <mergeCells count="13">
    <mergeCell ref="A1:J1"/>
    <mergeCell ref="A3:J3"/>
    <mergeCell ref="A5:J5"/>
    <mergeCell ref="A6:J6"/>
    <mergeCell ref="G9:H9"/>
    <mergeCell ref="G10:H10"/>
    <mergeCell ref="A2:J2"/>
    <mergeCell ref="B9:D9"/>
    <mergeCell ref="I10:J10"/>
    <mergeCell ref="A7:J7"/>
    <mergeCell ref="I9:J9"/>
    <mergeCell ref="E10:F10"/>
    <mergeCell ref="E9:F9"/>
  </mergeCells>
  <printOptions horizontalCentered="1"/>
  <pageMargins left="0.5" right="0.5" top="1.25" bottom="1" header="0.5" footer="0.5"/>
  <pageSetup fitToHeight="1" fitToWidth="1" horizontalDpi="600" verticalDpi="600" orientation="landscape" scale="74" r:id="rId1"/>
  <headerFooter alignWithMargins="0">
    <oddHeader>&amp;C&amp;"Arial,Bold"&amp;14Kroger Proposal for Rate Schedule 25 Design&amp;R&amp;"Arial,Bold"&amp;8EXHIBIT NO. ____ (KCH-5)
DOCKET NO. UG-040640/UE-040641
2004 PSE GENERAL RATE CASE
WITNESS:  KEVIN C. HIGGINS
PAGE 1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2" customWidth="1"/>
    <col min="2" max="2" width="30.57421875" style="2" bestFit="1" customWidth="1"/>
    <col min="3" max="3" width="20.421875" style="2" bestFit="1" customWidth="1"/>
    <col min="4" max="4" width="35.28125" style="2" customWidth="1"/>
    <col min="5" max="5" width="11.28125" style="2" bestFit="1" customWidth="1"/>
    <col min="6" max="16384" width="9.140625" style="2" customWidth="1"/>
  </cols>
  <sheetData>
    <row r="1" spans="1:4" ht="18">
      <c r="A1" s="5" t="s">
        <v>90</v>
      </c>
      <c r="B1" s="5"/>
      <c r="C1" s="5"/>
      <c r="D1" s="5"/>
    </row>
    <row r="2" spans="1:4" ht="12.75">
      <c r="A2" s="12"/>
      <c r="B2" s="12"/>
      <c r="C2" s="12"/>
      <c r="D2" s="12"/>
    </row>
    <row r="4" spans="1:4" ht="12.75">
      <c r="A4" s="7" t="s">
        <v>7</v>
      </c>
      <c r="C4" s="33" t="s">
        <v>47</v>
      </c>
      <c r="D4" s="65" t="s">
        <v>8</v>
      </c>
    </row>
    <row r="5" spans="1:4" ht="15" customHeight="1">
      <c r="A5" s="1">
        <v>1</v>
      </c>
      <c r="B5" s="34" t="s">
        <v>48</v>
      </c>
      <c r="C5" s="23">
        <f>+'KCH-4'!$C$23</f>
        <v>145612753</v>
      </c>
      <c r="D5" s="35" t="s">
        <v>12</v>
      </c>
    </row>
    <row r="6" spans="1:4" ht="15">
      <c r="A6" s="1">
        <v>2</v>
      </c>
      <c r="B6" s="34" t="s">
        <v>49</v>
      </c>
      <c r="C6" s="21">
        <f>+'KCH-4'!$C$24</f>
        <v>5158557.99</v>
      </c>
      <c r="D6" s="36" t="s">
        <v>50</v>
      </c>
    </row>
    <row r="7" spans="1:4" ht="15" customHeight="1">
      <c r="A7" s="1">
        <v>3</v>
      </c>
      <c r="B7" s="34" t="s">
        <v>51</v>
      </c>
      <c r="C7" s="23">
        <f>+C5-C6</f>
        <v>140454195.01</v>
      </c>
      <c r="D7" s="36" t="s">
        <v>21</v>
      </c>
    </row>
    <row r="8" spans="1:4" ht="12.75">
      <c r="A8" s="1"/>
      <c r="B8" s="34"/>
      <c r="C8" s="23"/>
      <c r="D8" s="36"/>
    </row>
    <row r="9" spans="1:4" ht="15" customHeight="1">
      <c r="A9" s="1">
        <v>4</v>
      </c>
      <c r="B9" s="34" t="s">
        <v>195</v>
      </c>
      <c r="C9" s="37">
        <f>+'KCH-5, p.1'!D17</f>
        <v>2848998294</v>
      </c>
      <c r="D9" s="36" t="s">
        <v>52</v>
      </c>
    </row>
    <row r="10" spans="1:4" ht="12.75">
      <c r="A10" s="1"/>
      <c r="B10" s="34"/>
      <c r="C10" s="37"/>
      <c r="D10" s="36"/>
    </row>
    <row r="11" spans="1:4" ht="15">
      <c r="A11" s="1">
        <v>5</v>
      </c>
      <c r="B11" s="34" t="s">
        <v>194</v>
      </c>
      <c r="C11" s="38">
        <f>+C7/C9</f>
        <v>0.049299501268848425</v>
      </c>
      <c r="D11" s="36" t="s">
        <v>53</v>
      </c>
    </row>
    <row r="41" ht="12.75">
      <c r="E41" s="25"/>
    </row>
  </sheetData>
  <printOptions horizontalCentered="1"/>
  <pageMargins left="0.5" right="0.5" top="1.75" bottom="1" header="0.5" footer="0.5"/>
  <pageSetup fitToHeight="1" fitToWidth="1" horizontalDpi="600" verticalDpi="600" orientation="landscape" r:id="rId1"/>
  <headerFooter alignWithMargins="0">
    <oddHeader>&amp;C&amp;"Arial,Bold"&amp;14Kroger Proposal for Rate Schedule 25 Design&amp;R&amp;"Arial,Bold"&amp;8EXHIBIT NO. ____ (KCH-5)
DOCKET NO. UG-040640/UE-040641
2004 PSE GENERAL RATE CASE
WITNESS:  KEVIN C. HIGGINS
PAGE 2 OF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4" width="15.7109375" style="0" customWidth="1"/>
    <col min="5" max="5" width="15.8515625" style="0" bestFit="1" customWidth="1"/>
    <col min="6" max="6" width="16.7109375" style="0" customWidth="1"/>
    <col min="7" max="7" width="15.8515625" style="0" customWidth="1"/>
    <col min="8" max="9" width="16.7109375" style="0" customWidth="1"/>
    <col min="10" max="10" width="15.57421875" style="0" customWidth="1"/>
    <col min="11" max="11" width="3.7109375" style="0" customWidth="1"/>
    <col min="12" max="12" width="12.8515625" style="0" bestFit="1" customWidth="1"/>
    <col min="13" max="13" width="17.28125" style="0" bestFit="1" customWidth="1"/>
    <col min="14" max="14" width="11.28125" style="0" bestFit="1" customWidth="1"/>
  </cols>
  <sheetData>
    <row r="1" spans="1:13" ht="18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5"/>
    </row>
    <row r="2" spans="1:13" ht="12.75">
      <c r="A2" s="145" t="s">
        <v>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2"/>
    </row>
    <row r="4" spans="1:13" ht="12.75">
      <c r="A4" s="145" t="s">
        <v>23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2"/>
    </row>
    <row r="5" spans="1:13" ht="12.75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2"/>
    </row>
    <row r="6" spans="1:13" ht="12.75">
      <c r="A6" s="145" t="s">
        <v>54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2"/>
    </row>
    <row r="8" spans="2:12" ht="12.75">
      <c r="B8" s="142" t="s">
        <v>89</v>
      </c>
      <c r="C8" s="144"/>
      <c r="D8" s="143"/>
      <c r="E8" s="142" t="s">
        <v>87</v>
      </c>
      <c r="F8" s="144"/>
      <c r="G8" s="142" t="s">
        <v>92</v>
      </c>
      <c r="H8" s="144"/>
      <c r="I8" s="142" t="s">
        <v>93</v>
      </c>
      <c r="J8" s="143"/>
      <c r="L8" s="146" t="s">
        <v>55</v>
      </c>
    </row>
    <row r="9" spans="2:12" ht="12.75">
      <c r="B9" s="50"/>
      <c r="C9" s="51" t="s">
        <v>26</v>
      </c>
      <c r="D9" s="52"/>
      <c r="E9" s="142" t="s">
        <v>28</v>
      </c>
      <c r="F9" s="143"/>
      <c r="G9" s="142" t="s">
        <v>178</v>
      </c>
      <c r="H9" s="143"/>
      <c r="I9" s="142" t="s">
        <v>29</v>
      </c>
      <c r="J9" s="143"/>
      <c r="L9" s="146"/>
    </row>
    <row r="10" spans="1:12" ht="25.5" customHeight="1">
      <c r="A10" s="15"/>
      <c r="B10" s="53"/>
      <c r="C10" s="54" t="s">
        <v>30</v>
      </c>
      <c r="D10" s="16"/>
      <c r="E10" s="13" t="s">
        <v>31</v>
      </c>
      <c r="F10" s="17" t="s">
        <v>32</v>
      </c>
      <c r="G10" s="13" t="s">
        <v>31</v>
      </c>
      <c r="H10" s="17" t="s">
        <v>32</v>
      </c>
      <c r="I10" s="13" t="s">
        <v>34</v>
      </c>
      <c r="J10" s="14" t="s">
        <v>35</v>
      </c>
      <c r="L10" s="146"/>
    </row>
    <row r="11" spans="1:12" ht="15">
      <c r="A11" s="2" t="s">
        <v>36</v>
      </c>
      <c r="B11" s="19">
        <f>+'KCH-5, p.1'!B12</f>
        <v>87940</v>
      </c>
      <c r="D11" s="19">
        <f>+B11</f>
        <v>87940</v>
      </c>
      <c r="E11" s="20">
        <f>+'KCH-5, p.1'!G12</f>
        <v>33.5</v>
      </c>
      <c r="F11" s="39">
        <f>+'KCH-5, p.1'!H12</f>
        <v>2945986</v>
      </c>
      <c r="G11" s="40">
        <f>+'KCH-5, p.1'!G12</f>
        <v>33.5</v>
      </c>
      <c r="H11" s="39">
        <f>+D11*G11</f>
        <v>2945990</v>
      </c>
      <c r="I11" s="21">
        <f>+H11-F11</f>
        <v>4</v>
      </c>
      <c r="J11" s="61">
        <f>+I11/F11</f>
        <v>1.3577797043163139E-06</v>
      </c>
      <c r="L11" s="41"/>
    </row>
    <row r="12" spans="1:10" ht="12.75">
      <c r="A12" s="2"/>
      <c r="D12" s="22"/>
      <c r="E12" s="20"/>
      <c r="F12" s="29"/>
      <c r="H12" s="42"/>
      <c r="I12" s="23"/>
      <c r="J12" s="62"/>
    </row>
    <row r="13" spans="1:12" ht="12.75">
      <c r="A13" s="2" t="s">
        <v>37</v>
      </c>
      <c r="B13" s="24">
        <f>+'KCH-5, p.1'!B14</f>
        <v>725287983</v>
      </c>
      <c r="D13" s="25">
        <f>+B13</f>
        <v>725287983</v>
      </c>
      <c r="E13" s="26">
        <f>+'KCH-5, p.1'!G14</f>
        <v>0.073746</v>
      </c>
      <c r="F13" s="29">
        <f>+'KCH-5, p.1'!H14</f>
        <v>53487088</v>
      </c>
      <c r="G13" s="43">
        <f>+'KCH-5, p.1'!G14</f>
        <v>0.073746</v>
      </c>
      <c r="H13" s="29">
        <f>+D13*G13</f>
        <v>53487087.594318</v>
      </c>
      <c r="I13" s="23">
        <f>+H13-F13</f>
        <v>-0.4056819975376129</v>
      </c>
      <c r="J13" s="62">
        <f>+I13/F13</f>
        <v>-7.584671604062889E-09</v>
      </c>
      <c r="L13" s="41"/>
    </row>
    <row r="14" spans="1:12" ht="12.75">
      <c r="A14" s="2" t="s">
        <v>38</v>
      </c>
      <c r="B14" s="24">
        <f>+'KCH-5, p.1'!B15</f>
        <v>718403628</v>
      </c>
      <c r="D14" s="25">
        <f>+B14</f>
        <v>718403628</v>
      </c>
      <c r="E14" s="26">
        <f>+'KCH-5, p.1'!G15</f>
        <v>0.066609</v>
      </c>
      <c r="F14" s="29">
        <f>+'KCH-5, p.1'!H15</f>
        <v>47852147</v>
      </c>
      <c r="G14" s="43">
        <f>+'KCH-5, p.1'!G15</f>
        <v>0.066609</v>
      </c>
      <c r="H14" s="29">
        <f>+D14*G14</f>
        <v>47852147.257452</v>
      </c>
      <c r="I14" s="23">
        <f>+H14-F14</f>
        <v>0.25745200365781784</v>
      </c>
      <c r="J14" s="62">
        <f>+I14/F14</f>
        <v>5.380155746362182E-09</v>
      </c>
      <c r="L14" s="41"/>
    </row>
    <row r="15" spans="1:12" ht="15">
      <c r="A15" s="2" t="s">
        <v>39</v>
      </c>
      <c r="B15" s="27">
        <f>+'KCH-5, p.1'!B16</f>
        <v>1408084336</v>
      </c>
      <c r="C15" s="27">
        <f>+'KCH-5, p.1'!C16</f>
        <v>-2777653</v>
      </c>
      <c r="D15" s="19">
        <f>+B15+C15</f>
        <v>1405306683</v>
      </c>
      <c r="E15" s="26">
        <f>+'KCH-5, p.1'!G16</f>
        <v>0.055958</v>
      </c>
      <c r="F15" s="39">
        <f>+'KCH-5, p.1'!H16</f>
        <v>78638151</v>
      </c>
      <c r="G15" s="120">
        <f>+'KCH-5, p.2'!C11</f>
        <v>0.049299501268848425</v>
      </c>
      <c r="H15" s="39">
        <f>+D15*G15</f>
        <v>69280918.60167967</v>
      </c>
      <c r="I15" s="21">
        <f>+H15-F15</f>
        <v>-9357232.398320332</v>
      </c>
      <c r="J15" s="61">
        <f>+I15/F15</f>
        <v>-0.11899100219587223</v>
      </c>
      <c r="L15" s="44"/>
    </row>
    <row r="16" spans="1:12" ht="15">
      <c r="A16" s="2" t="s">
        <v>40</v>
      </c>
      <c r="B16" s="28">
        <f>SUM(B13:B15)</f>
        <v>2851775947</v>
      </c>
      <c r="C16" s="28">
        <f>SUM(C13:C15)</f>
        <v>-2777653</v>
      </c>
      <c r="D16" s="28">
        <f>SUM(D13:D15)</f>
        <v>2848998294</v>
      </c>
      <c r="E16" s="26"/>
      <c r="F16" s="45">
        <f>+'KCH-5, p.1'!H17</f>
        <v>179977386</v>
      </c>
      <c r="G16" s="121"/>
      <c r="H16" s="45">
        <f>SUM(H13:H15)</f>
        <v>170620153.45344967</v>
      </c>
      <c r="I16" s="30">
        <f>+H16-F16</f>
        <v>-9357232.546550333</v>
      </c>
      <c r="J16" s="62">
        <f>+I16/F16</f>
        <v>-0.051991157080980906</v>
      </c>
      <c r="L16" s="41"/>
    </row>
    <row r="17" spans="1:10" ht="12.75">
      <c r="A17" s="2"/>
      <c r="E17" s="26"/>
      <c r="F17" s="29"/>
      <c r="G17" s="122"/>
      <c r="H17" s="42"/>
      <c r="I17" s="23"/>
      <c r="J17" s="62"/>
    </row>
    <row r="18" spans="1:12" ht="12.75">
      <c r="A18" s="2" t="s">
        <v>41</v>
      </c>
      <c r="B18" s="24">
        <f>+'KCH-5, p.1'!B19</f>
        <v>2125411</v>
      </c>
      <c r="D18" s="25">
        <f>+B18</f>
        <v>2125411</v>
      </c>
      <c r="E18" s="26">
        <f>+'KCH-5, p.1'!G19</f>
        <v>6.85</v>
      </c>
      <c r="F18" s="29">
        <f>+'KCH-5, p.1'!H19</f>
        <v>14559065</v>
      </c>
      <c r="G18" s="40">
        <f>+('KCH-5, p.1'!H19+L18)/D18</f>
        <v>9.472651656865322</v>
      </c>
      <c r="H18" s="29">
        <f>+D18*G18</f>
        <v>20133278.030669782</v>
      </c>
      <c r="I18" s="23">
        <f>+H18-F18</f>
        <v>5574213.030669782</v>
      </c>
      <c r="J18" s="62">
        <f>+I18/F18</f>
        <v>0.38286888826101007</v>
      </c>
      <c r="L18" s="41">
        <f>+('KCH-5, p.1'!H19/'KCH-5, p.1'!H21)*L20</f>
        <v>5574213.030669782</v>
      </c>
    </row>
    <row r="19" spans="1:12" ht="15">
      <c r="A19" s="2" t="s">
        <v>42</v>
      </c>
      <c r="B19" s="27">
        <f>+'KCH-5, p.1'!B20</f>
        <v>2162083</v>
      </c>
      <c r="D19" s="19">
        <f>+B19</f>
        <v>2162083</v>
      </c>
      <c r="E19" s="26">
        <f>+'KCH-5, p.1'!G20</f>
        <v>4.57</v>
      </c>
      <c r="F19" s="39">
        <f>+'KCH-5, p.1'!H20</f>
        <v>9880718</v>
      </c>
      <c r="G19" s="40">
        <f>+('KCH-5, p.1'!H20+L19)/D19</f>
        <v>6.319709981476452</v>
      </c>
      <c r="H19" s="39">
        <f>+D19*G19</f>
        <v>13663737.515880551</v>
      </c>
      <c r="I19" s="21">
        <f>+H19-F19</f>
        <v>3783019.515880551</v>
      </c>
      <c r="J19" s="61">
        <f>+I19/F19</f>
        <v>0.3828688882610101</v>
      </c>
      <c r="L19" s="46">
        <f>+('KCH-5, p.1'!H20/'KCH-5, p.1'!H21)*L20</f>
        <v>3783019.5158805507</v>
      </c>
    </row>
    <row r="20" spans="1:12" ht="15">
      <c r="A20" s="2" t="s">
        <v>43</v>
      </c>
      <c r="B20" s="28">
        <f>SUM(B18:B19)</f>
        <v>4287494</v>
      </c>
      <c r="D20" s="28">
        <f>+B20</f>
        <v>4287494</v>
      </c>
      <c r="E20" s="26"/>
      <c r="F20" s="45">
        <f>+'KCH-5, p.1'!H21</f>
        <v>24439783</v>
      </c>
      <c r="G20" s="42"/>
      <c r="H20" s="45">
        <f>SUM(H18:H19)</f>
        <v>33797015.54655033</v>
      </c>
      <c r="I20" s="30">
        <f>H20-F20</f>
        <v>9357232.546550333</v>
      </c>
      <c r="J20" s="62">
        <f>+I20/F20</f>
        <v>0.38286888826101007</v>
      </c>
      <c r="L20" s="41">
        <f>+'KCH-5, p.1'!H17-H16</f>
        <v>9357232.546550333</v>
      </c>
    </row>
    <row r="21" spans="1:12" ht="12.75">
      <c r="A21" s="2"/>
      <c r="E21" s="26"/>
      <c r="F21" s="29"/>
      <c r="H21" s="42"/>
      <c r="I21" s="23"/>
      <c r="J21" s="62"/>
      <c r="L21" s="42"/>
    </row>
    <row r="22" spans="1:10" ht="15">
      <c r="A22" s="2" t="s">
        <v>44</v>
      </c>
      <c r="B22" s="19">
        <f>+'KCH-5, p.1'!B23</f>
        <v>745499708</v>
      </c>
      <c r="D22" s="19">
        <f>+B22</f>
        <v>745499708</v>
      </c>
      <c r="E22" s="26">
        <f>+'KCH-5, p.1'!G23</f>
        <v>0.0024</v>
      </c>
      <c r="F22" s="47">
        <f>+'KCH-5, p.1'!H23</f>
        <v>1789199</v>
      </c>
      <c r="G22" s="31">
        <f>+'KCH-5, p.1'!G23</f>
        <v>0.0024</v>
      </c>
      <c r="H22" s="39">
        <f>+D22*G22</f>
        <v>1789199.2991999998</v>
      </c>
      <c r="I22" s="21">
        <f>+H22-F22</f>
        <v>0.2991999997757375</v>
      </c>
      <c r="J22" s="61">
        <f>+I22/F22</f>
        <v>1.6722566901487062E-07</v>
      </c>
    </row>
    <row r="23" spans="1:10" ht="12.75">
      <c r="A23" s="2"/>
      <c r="E23" s="26"/>
      <c r="F23" s="29"/>
      <c r="H23" s="42"/>
      <c r="I23" s="23"/>
      <c r="J23" s="62"/>
    </row>
    <row r="24" spans="1:10" ht="15">
      <c r="A24" s="2" t="s">
        <v>45</v>
      </c>
      <c r="D24" s="19">
        <f>+D16</f>
        <v>2848998294</v>
      </c>
      <c r="E24" s="26">
        <f>+'KCH-5, p.1'!G25</f>
        <v>0</v>
      </c>
      <c r="F24" s="39">
        <f>+'KCH-5, p.1'!H25</f>
        <v>0</v>
      </c>
      <c r="G24" s="48">
        <f>+'KCH-5, p.1'!G25</f>
        <v>0</v>
      </c>
      <c r="H24" s="39">
        <f>+D24*G24</f>
        <v>0</v>
      </c>
      <c r="I24" s="21">
        <f>+H24-F24</f>
        <v>0</v>
      </c>
      <c r="J24" s="61">
        <v>0</v>
      </c>
    </row>
    <row r="25" spans="1:10" ht="12.75">
      <c r="A25" s="2"/>
      <c r="F25" s="2"/>
      <c r="I25" s="23"/>
      <c r="J25" s="62"/>
    </row>
    <row r="26" spans="1:10" ht="15">
      <c r="A26" s="2" t="s">
        <v>46</v>
      </c>
      <c r="F26" s="45">
        <f>+'KCH-5, p.1'!H27</f>
        <v>209152354</v>
      </c>
      <c r="G26" s="32"/>
      <c r="H26" s="45">
        <f>+H11+H16+H20+H22+H24</f>
        <v>209152358.2992</v>
      </c>
      <c r="I26" s="30">
        <f>+H26-F26</f>
        <v>4.299199998378754</v>
      </c>
      <c r="J26" s="63">
        <f>+I26/F26</f>
        <v>2.0555350758226483E-08</v>
      </c>
    </row>
    <row r="34" ht="12.75">
      <c r="K34" s="41"/>
    </row>
    <row r="35" ht="12.75">
      <c r="K35" s="41"/>
    </row>
    <row r="36" ht="12.75">
      <c r="K36" s="49"/>
    </row>
    <row r="37" ht="12.75">
      <c r="K37" s="41"/>
    </row>
    <row r="38" ht="12.75">
      <c r="K38" s="49"/>
    </row>
    <row r="39" ht="12.75">
      <c r="K39" s="41"/>
    </row>
    <row r="40" ht="12.75">
      <c r="K40" s="41"/>
    </row>
    <row r="42" ht="12.75">
      <c r="K42" s="42"/>
    </row>
    <row r="78" ht="12.75">
      <c r="N78" s="22"/>
    </row>
  </sheetData>
  <mergeCells count="13">
    <mergeCell ref="A5:L5"/>
    <mergeCell ref="A6:L6"/>
    <mergeCell ref="A2:L2"/>
    <mergeCell ref="A1:L1"/>
    <mergeCell ref="L8:L10"/>
    <mergeCell ref="A4:L4"/>
    <mergeCell ref="I9:J9"/>
    <mergeCell ref="B8:D8"/>
    <mergeCell ref="E8:F8"/>
    <mergeCell ref="E9:F9"/>
    <mergeCell ref="G8:H8"/>
    <mergeCell ref="G9:H9"/>
    <mergeCell ref="I8:J8"/>
  </mergeCells>
  <printOptions horizontalCentered="1"/>
  <pageMargins left="0.5" right="0.5" top="1.25" bottom="1" header="0.5" footer="0.5"/>
  <pageSetup fitToHeight="1" fitToWidth="1" horizontalDpi="600" verticalDpi="600" orientation="landscape" scale="68" r:id="rId1"/>
  <headerFooter alignWithMargins="0">
    <oddHeader>&amp;C&amp;"Arial,Bold"&amp;14Kroger Proposal for Rate Schedule 25 Design&amp;R&amp;"Arial,Bold"&amp;8EXHIBIT NO. ____ (KCH-5)
DOCKET NO. UG-040640/UE-040641
2004 PSE GENERAL RATE CASE
WITNESS:  KEVIN C. HIGGINS
PAGE 3 OF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B1">
      <selection activeCell="B4" sqref="B4"/>
    </sheetView>
  </sheetViews>
  <sheetFormatPr defaultColWidth="9.140625" defaultRowHeight="12.75"/>
  <cols>
    <col min="1" max="1" width="26.8515625" style="113" bestFit="1" customWidth="1"/>
    <col min="2" max="4" width="15.7109375" style="113" customWidth="1"/>
    <col min="5" max="5" width="15.8515625" style="113" customWidth="1"/>
    <col min="6" max="6" width="16.7109375" style="113" customWidth="1"/>
    <col min="7" max="7" width="15.8515625" style="113" customWidth="1"/>
    <col min="8" max="9" width="16.7109375" style="113" customWidth="1"/>
    <col min="10" max="10" width="15.7109375" style="113" customWidth="1"/>
    <col min="11" max="11" width="19.00390625" style="113" bestFit="1" customWidth="1"/>
    <col min="12" max="12" width="17.28125" style="113" bestFit="1" customWidth="1"/>
    <col min="13" max="13" width="9.140625" style="113" customWidth="1"/>
    <col min="14" max="14" width="13.421875" style="113" bestFit="1" customWidth="1"/>
    <col min="15" max="15" width="11.28125" style="113" bestFit="1" customWidth="1"/>
    <col min="16" max="16384" width="9.140625" style="113" customWidth="1"/>
  </cols>
  <sheetData>
    <row r="1" spans="1:10" ht="18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>
      <c r="A2" s="140" t="s">
        <v>94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</row>
    <row r="5" spans="1:12" ht="12.75">
      <c r="A5" s="145" t="s">
        <v>57</v>
      </c>
      <c r="B5" s="145"/>
      <c r="C5" s="145"/>
      <c r="D5" s="145"/>
      <c r="E5" s="145"/>
      <c r="F5" s="145"/>
      <c r="G5" s="145"/>
      <c r="H5" s="145"/>
      <c r="I5" s="145"/>
      <c r="J5" s="145"/>
      <c r="K5" s="12"/>
      <c r="L5" s="12"/>
    </row>
    <row r="6" spans="1:12" ht="12.75">
      <c r="A6" s="145" t="s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2"/>
      <c r="L6" s="12"/>
    </row>
    <row r="7" spans="1:12" ht="12.75">
      <c r="A7" s="145" t="s">
        <v>24</v>
      </c>
      <c r="B7" s="145"/>
      <c r="C7" s="145"/>
      <c r="D7" s="145"/>
      <c r="E7" s="145"/>
      <c r="F7" s="145"/>
      <c r="G7" s="145"/>
      <c r="H7" s="145"/>
      <c r="I7" s="145"/>
      <c r="J7" s="145"/>
      <c r="K7" s="12"/>
      <c r="L7" s="12"/>
    </row>
    <row r="9" spans="2:10" ht="12.75">
      <c r="B9" s="142" t="s">
        <v>89</v>
      </c>
      <c r="C9" s="144"/>
      <c r="D9" s="143"/>
      <c r="E9" s="142" t="s">
        <v>25</v>
      </c>
      <c r="F9" s="143"/>
      <c r="G9" s="142" t="s">
        <v>87</v>
      </c>
      <c r="H9" s="143"/>
      <c r="I9" s="142" t="s">
        <v>56</v>
      </c>
      <c r="J9" s="143"/>
    </row>
    <row r="10" spans="2:10" ht="12.75">
      <c r="B10" s="50"/>
      <c r="C10" s="51" t="s">
        <v>26</v>
      </c>
      <c r="D10" s="52"/>
      <c r="E10" s="142" t="s">
        <v>27</v>
      </c>
      <c r="F10" s="143"/>
      <c r="G10" s="142" t="s">
        <v>28</v>
      </c>
      <c r="H10" s="143"/>
      <c r="I10" s="142" t="s">
        <v>29</v>
      </c>
      <c r="J10" s="143"/>
    </row>
    <row r="11" spans="1:10" ht="25.5">
      <c r="A11" s="114"/>
      <c r="B11" s="53"/>
      <c r="C11" s="54" t="s">
        <v>30</v>
      </c>
      <c r="D11" s="16"/>
      <c r="E11" s="13" t="s">
        <v>31</v>
      </c>
      <c r="F11" s="17" t="s">
        <v>32</v>
      </c>
      <c r="G11" s="13" t="s">
        <v>31</v>
      </c>
      <c r="H11" s="17" t="s">
        <v>32</v>
      </c>
      <c r="I11" s="13" t="s">
        <v>34</v>
      </c>
      <c r="J11" s="14" t="s">
        <v>35</v>
      </c>
    </row>
    <row r="12" spans="1:10" ht="15">
      <c r="A12" s="2" t="s">
        <v>36</v>
      </c>
      <c r="B12" s="19">
        <v>8699</v>
      </c>
      <c r="D12" s="19">
        <f>+B12</f>
        <v>8699</v>
      </c>
      <c r="E12" s="20">
        <v>29.1</v>
      </c>
      <c r="F12" s="39">
        <v>253134</v>
      </c>
      <c r="G12" s="20">
        <v>79</v>
      </c>
      <c r="H12" s="39">
        <v>687203</v>
      </c>
      <c r="I12" s="21">
        <f>+H12-F12</f>
        <v>434069</v>
      </c>
      <c r="J12" s="61">
        <f>+I12/F12</f>
        <v>1.7147795238885333</v>
      </c>
    </row>
    <row r="13" spans="1:10" ht="12.75">
      <c r="A13" s="2"/>
      <c r="D13" s="115"/>
      <c r="F13" s="29"/>
      <c r="H13" s="29"/>
      <c r="I13" s="23">
        <f>+H13-F13</f>
        <v>0</v>
      </c>
      <c r="J13" s="62"/>
    </row>
    <row r="14" spans="1:10" ht="15">
      <c r="A14" s="2" t="s">
        <v>40</v>
      </c>
      <c r="B14" s="19">
        <v>1890378962</v>
      </c>
      <c r="C14" s="19">
        <v>-3556768</v>
      </c>
      <c r="D14" s="19">
        <f>+B14+C14</f>
        <v>1886822194</v>
      </c>
      <c r="E14" s="123">
        <v>0.04732</v>
      </c>
      <c r="F14" s="39">
        <v>89284426</v>
      </c>
      <c r="G14" s="124">
        <v>0.050448</v>
      </c>
      <c r="H14" s="39">
        <v>95186406</v>
      </c>
      <c r="I14" s="21">
        <f>+H14-F14</f>
        <v>5901980</v>
      </c>
      <c r="J14" s="64">
        <f>+I14/F14</f>
        <v>0.0661031297888391</v>
      </c>
    </row>
    <row r="15" spans="1:10" ht="12.75">
      <c r="A15" s="2"/>
      <c r="F15" s="29"/>
      <c r="H15" s="29"/>
      <c r="I15" s="23"/>
      <c r="J15" s="62"/>
    </row>
    <row r="16" spans="1:10" ht="12.75">
      <c r="A16" s="2" t="s">
        <v>58</v>
      </c>
      <c r="B16" s="24">
        <v>2134140</v>
      </c>
      <c r="D16" s="25">
        <f>+B16</f>
        <v>2134140</v>
      </c>
      <c r="E16" s="20">
        <v>6.92</v>
      </c>
      <c r="F16" s="29">
        <v>14768248</v>
      </c>
      <c r="G16" s="20">
        <v>6.98</v>
      </c>
      <c r="H16" s="29">
        <v>14896296</v>
      </c>
      <c r="I16" s="23">
        <f>+H16-F16</f>
        <v>128048</v>
      </c>
      <c r="J16" s="62">
        <f>+I16/F16</f>
        <v>0.008670493615762682</v>
      </c>
    </row>
    <row r="17" spans="1:10" ht="15">
      <c r="A17" s="2" t="s">
        <v>59</v>
      </c>
      <c r="B17" s="27">
        <v>2253129</v>
      </c>
      <c r="D17" s="19">
        <f>+B17</f>
        <v>2253129</v>
      </c>
      <c r="E17" s="20">
        <v>4.6</v>
      </c>
      <c r="F17" s="39">
        <v>10364394</v>
      </c>
      <c r="G17" s="20">
        <v>4.64</v>
      </c>
      <c r="H17" s="39">
        <v>10454519</v>
      </c>
      <c r="I17" s="21">
        <f>+H17-F17</f>
        <v>90125</v>
      </c>
      <c r="J17" s="61">
        <f>+I17/F17</f>
        <v>0.00869563623304942</v>
      </c>
    </row>
    <row r="18" spans="1:10" ht="15">
      <c r="A18" s="2" t="s">
        <v>43</v>
      </c>
      <c r="B18" s="28">
        <f>SUM(B16:B17)</f>
        <v>4387269</v>
      </c>
      <c r="D18" s="28">
        <f>+B18</f>
        <v>4387269</v>
      </c>
      <c r="F18" s="45">
        <v>25132641</v>
      </c>
      <c r="G18" s="29"/>
      <c r="H18" s="45">
        <v>25350815</v>
      </c>
      <c r="I18" s="30">
        <f>+H18-F18</f>
        <v>218174</v>
      </c>
      <c r="J18" s="63">
        <f>+I18/F18</f>
        <v>0.008680902257745217</v>
      </c>
    </row>
    <row r="19" spans="1:10" ht="12.75">
      <c r="A19" s="2"/>
      <c r="F19" s="29"/>
      <c r="G19" s="2"/>
      <c r="H19" s="29"/>
      <c r="I19" s="23"/>
      <c r="J19" s="62"/>
    </row>
    <row r="20" spans="1:10" ht="15">
      <c r="A20" s="2" t="s">
        <v>44</v>
      </c>
      <c r="B20" s="19">
        <v>934070048</v>
      </c>
      <c r="D20" s="19">
        <f>+B20</f>
        <v>934070048</v>
      </c>
      <c r="E20" s="31">
        <v>0.0011</v>
      </c>
      <c r="F20" s="47">
        <v>1027477</v>
      </c>
      <c r="G20" s="31">
        <v>0.00113</v>
      </c>
      <c r="H20" s="39">
        <v>1055499</v>
      </c>
      <c r="I20" s="21">
        <f>+H20-F20</f>
        <v>28022</v>
      </c>
      <c r="J20" s="64">
        <f>+I20/F20</f>
        <v>0.027272629946947718</v>
      </c>
    </row>
    <row r="21" spans="1:10" ht="12.75">
      <c r="A21" s="2"/>
      <c r="F21" s="29"/>
      <c r="G21" s="2"/>
      <c r="H21" s="29"/>
      <c r="I21" s="23"/>
      <c r="J21" s="62"/>
    </row>
    <row r="22" spans="1:10" ht="15">
      <c r="A22" s="2" t="s">
        <v>45</v>
      </c>
      <c r="D22" s="19">
        <f>+D14</f>
        <v>1886822194</v>
      </c>
      <c r="E22" s="26">
        <v>0.002191</v>
      </c>
      <c r="F22" s="39">
        <v>4134027</v>
      </c>
      <c r="G22" s="20">
        <v>0</v>
      </c>
      <c r="H22" s="39">
        <v>0</v>
      </c>
      <c r="I22" s="21">
        <f>+H22-F22</f>
        <v>-4134027</v>
      </c>
      <c r="J22" s="64">
        <f>+I22/F22</f>
        <v>-1</v>
      </c>
    </row>
    <row r="23" spans="1:10" ht="12.75">
      <c r="A23" s="2"/>
      <c r="F23" s="2"/>
      <c r="H23" s="2"/>
      <c r="I23" s="23"/>
      <c r="J23" s="62"/>
    </row>
    <row r="24" spans="1:10" ht="15">
      <c r="A24" s="2" t="s">
        <v>46</v>
      </c>
      <c r="F24" s="45">
        <v>119831706</v>
      </c>
      <c r="G24" s="117"/>
      <c r="H24" s="45">
        <v>122279923</v>
      </c>
      <c r="I24" s="30">
        <f>+H24-F24</f>
        <v>2448217</v>
      </c>
      <c r="J24" s="63">
        <f>+I24/F24</f>
        <v>0.02043046103340964</v>
      </c>
    </row>
    <row r="26" ht="12.75">
      <c r="A26" s="2" t="s">
        <v>68</v>
      </c>
    </row>
  </sheetData>
  <mergeCells count="13">
    <mergeCell ref="I10:J10"/>
    <mergeCell ref="E10:F10"/>
    <mergeCell ref="G9:H9"/>
    <mergeCell ref="G10:H10"/>
    <mergeCell ref="A6:J6"/>
    <mergeCell ref="A7:J7"/>
    <mergeCell ref="B9:D9"/>
    <mergeCell ref="E9:F9"/>
    <mergeCell ref="I9:J9"/>
    <mergeCell ref="A1:J1"/>
    <mergeCell ref="A2:J2"/>
    <mergeCell ref="A3:J3"/>
    <mergeCell ref="A5:J5"/>
  </mergeCells>
  <printOptions horizontalCentered="1"/>
  <pageMargins left="0.5" right="0.5" top="1.25" bottom="1" header="0.5" footer="0.5"/>
  <pageSetup fitToHeight="1" fitToWidth="1" horizontalDpi="600" verticalDpi="600" orientation="landscape" scale="75" r:id="rId1"/>
  <headerFooter alignWithMargins="0">
    <oddHeader>&amp;C&amp;"Arial,Bold"&amp;14Kroger Proposal for Rate Schedule 26 Design&amp;R&amp;"Arial,Bold"&amp;8EXHIBIT NO. ____ (KCH-5)
DOCKET NO. UG-040640/UE-040641
2004 PSE GENERAL RATE CASE
WITNESS:  KEVIN C. HIGGINS
PAGE 4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Preferred Customer</cp:lastModifiedBy>
  <cp:lastPrinted>2004-09-22T17:12:39Z</cp:lastPrinted>
  <dcterms:created xsi:type="dcterms:W3CDTF">2004-09-17T21:32:46Z</dcterms:created>
  <dcterms:modified xsi:type="dcterms:W3CDTF">2004-09-22T17:51:11Z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-190041599</vt:i4>
  </property>
  <property fmtid="{D5CDD505-2E9C-101B-9397-08002B2CF9AE}" pid="3" name="_EmailSubject">
    <vt:lpwstr>Higgins final PSE testimony</vt:lpwstr>
  </property>
  <property fmtid="{D5CDD505-2E9C-101B-9397-08002B2CF9AE}" pid="4" name="_AuthorEmail">
    <vt:lpwstr>KHiggins@Energystrat.com</vt:lpwstr>
  </property>
  <property fmtid="{D5CDD505-2E9C-101B-9397-08002B2CF9AE}" pid="5" name="_AuthorEmailDisplayName">
    <vt:lpwstr>Kevin Higgins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040640</vt:lpwstr>
  </property>
  <property fmtid="{D5CDD505-2E9C-101B-9397-08002B2CF9AE}" pid="10" name="IsConfidential">
    <vt:lpwstr>0</vt:lpwstr>
  </property>
  <property fmtid="{D5CDD505-2E9C-101B-9397-08002B2CF9AE}" pid="11" name="Date1">
    <vt:lpwstr>2004-09-23T00:00:00Z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2004-04-05T00:00:00Z</vt:lpwstr>
  </property>
  <property fmtid="{D5CDD505-2E9C-101B-9397-08002B2CF9AE}" pid="14" name="Prefix">
    <vt:lpwstr>UG</vt:lpwstr>
  </property>
  <property fmtid="{D5CDD505-2E9C-101B-9397-08002B2CF9AE}" pid="15" name="CaseCompanyNames">
    <vt:lpwstr>Puget Sound Energy</vt:lpwstr>
  </property>
  <property fmtid="{D5CDD505-2E9C-101B-9397-08002B2CF9AE}" pid="16" name="IndustryCode">
    <vt:lpwstr>150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